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/>
  <workbookProtection workbookAlgorithmName="SHA-512" workbookHashValue="QJoP7GtLzBGvbZv7BLHXG+1pvYJWF6Qyn/2lkvREwYGRFmDBsZ3DwD362S4AYjtqrLfb/qt/NaD5+nvaOr8+3A==" workbookSpinCount="100000" workbookSaltValue="wAHQuD6sMbPJdT/RrHo04Q==" lockStructure="1"/>
  <bookViews>
    <workbookView xWindow="65416" yWindow="65416" windowWidth="29040" windowHeight="17640" firstSheet="1" activeTab="1"/>
  </bookViews>
  <sheets>
    <sheet name="Beräkningar" sheetId="1" state="hidden" r:id="rId1"/>
    <sheet name="Gödkalk 24" sheetId="2" r:id="rId2"/>
    <sheet name="Sheet1" sheetId="3" r:id="rId3"/>
  </sheets>
  <definedNames/>
  <calcPr calcId="191029"/>
  <extLst/>
</workbook>
</file>

<file path=xl/sharedStrings.xml><?xml version="1.0" encoding="utf-8"?>
<sst xmlns="http://schemas.openxmlformats.org/spreadsheetml/2006/main" count="230" uniqueCount="161">
  <si>
    <t>vald giva</t>
  </si>
  <si>
    <t>Giva</t>
  </si>
  <si>
    <t>kg N/ha</t>
  </si>
  <si>
    <t>Areal, effektiv</t>
  </si>
  <si>
    <t>ha</t>
  </si>
  <si>
    <t>Areal på startplatsen</t>
  </si>
  <si>
    <t>Ståndortsindex</t>
  </si>
  <si>
    <t>H100 m</t>
  </si>
  <si>
    <t>Latitud</t>
  </si>
  <si>
    <t>o n.br.</t>
  </si>
  <si>
    <t>Höjd över havet</t>
  </si>
  <si>
    <t>m</t>
  </si>
  <si>
    <t>Stamantal</t>
  </si>
  <si>
    <t>st/ha</t>
  </si>
  <si>
    <t>Ålder brh</t>
  </si>
  <si>
    <t>år</t>
  </si>
  <si>
    <t>Trädslagsblandning</t>
  </si>
  <si>
    <t>1/10 tall</t>
  </si>
  <si>
    <t>Virkesförråd</t>
  </si>
  <si>
    <t>m3sk/ha</t>
  </si>
  <si>
    <t>Rotvärde</t>
  </si>
  <si>
    <t>kr/m3sk</t>
  </si>
  <si>
    <t>Löpande tillväxt</t>
  </si>
  <si>
    <t>m3sk/ha/år</t>
  </si>
  <si>
    <t>Rotv. enl. statistik</t>
  </si>
  <si>
    <t>Rotv. enl. FX720-P</t>
  </si>
  <si>
    <t>Beräknat rotvärde</t>
  </si>
  <si>
    <t xml:space="preserve">   "G"</t>
  </si>
  <si>
    <t xml:space="preserve">   "O"</t>
  </si>
  <si>
    <t>Beräknad löp. tillv.</t>
  </si>
  <si>
    <t>Använd löpande tillväxt</t>
  </si>
  <si>
    <t>Medelstam exkl. gö vid effperiodens slut:</t>
  </si>
  <si>
    <t>m3sk/stam</t>
  </si>
  <si>
    <t>Medelstam inkl. gö vid effperiodens slut:</t>
  </si>
  <si>
    <t>log tv 5 år</t>
  </si>
  <si>
    <t>log tv tot</t>
  </si>
  <si>
    <t>Tillväxtökning 5 år</t>
  </si>
  <si>
    <t>Tillväxtökning totalt</t>
  </si>
  <si>
    <t>Tillväxtökning totalt korr för omgödsling</t>
  </si>
  <si>
    <t>log effekttid</t>
  </si>
  <si>
    <t>Effekttid</t>
  </si>
  <si>
    <t>Rotvärde exkl. gödsling tall, Norrland</t>
  </si>
  <si>
    <t xml:space="preserve"> " -                                           tall, Svealand</t>
  </si>
  <si>
    <t xml:space="preserve"> " -                                           tall, Götaland</t>
  </si>
  <si>
    <t>Rotvärde exkl. gödsling gran, Norrland</t>
  </si>
  <si>
    <t xml:space="preserve"> " -                                           gran, Svealand</t>
  </si>
  <si>
    <t xml:space="preserve"> " -                                           gran, Götaland</t>
  </si>
  <si>
    <t>Rotvärde inkl. gödsling tall, Norrland</t>
  </si>
  <si>
    <t xml:space="preserve"> " -                                          tall, Svealand</t>
  </si>
  <si>
    <t xml:space="preserve"> " -                                          tall, Götaland</t>
  </si>
  <si>
    <t>Rotvärde inkl. gödsling gran, Norrland</t>
  </si>
  <si>
    <t xml:space="preserve"> " -                                          gran, Svealand</t>
  </si>
  <si>
    <t xml:space="preserve"> " -                                          gran, Götaland</t>
  </si>
  <si>
    <t>Rotvärdeökn. pga gödsling tall, Norrland</t>
  </si>
  <si>
    <t xml:space="preserve"> "-                                                   tall, Svealand</t>
  </si>
  <si>
    <t xml:space="preserve"> "-                                                   tall, Götaland</t>
  </si>
  <si>
    <t>Rotvärdeökn. pga gödsling gran, Norrland</t>
  </si>
  <si>
    <t xml:space="preserve"> "-                                                   gran, Svealand</t>
  </si>
  <si>
    <t xml:space="preserve"> "-                                                   gran, Götaland</t>
  </si>
  <si>
    <t>"0-begränsad" rotv.ökn. tall, Norrland</t>
  </si>
  <si>
    <t xml:space="preserve"> "-                                            tall, Svealand</t>
  </si>
  <si>
    <t xml:space="preserve"> "-                                            tall, Götaland</t>
  </si>
  <si>
    <t>"0-begränsad" rotv.ökn. gran, Norrland</t>
  </si>
  <si>
    <t xml:space="preserve"> "-                                            gran, Svealand</t>
  </si>
  <si>
    <t xml:space="preserve"> "-                                            gran, Götaland</t>
  </si>
  <si>
    <t>Beräknad dimensionseffekt</t>
  </si>
  <si>
    <t xml:space="preserve">  (beräkningar)</t>
  </si>
  <si>
    <t>Volymeffekt</t>
  </si>
  <si>
    <t>kr/ha</t>
  </si>
  <si>
    <t>Dimensionseffekt</t>
  </si>
  <si>
    <t>Värdeökning totalt</t>
  </si>
  <si>
    <t>Slutavverkningsålder</t>
  </si>
  <si>
    <t>år brh</t>
  </si>
  <si>
    <t>%</t>
  </si>
  <si>
    <t>Gödslingskostnad</t>
  </si>
  <si>
    <t xml:space="preserve">  "-   SG-systemet</t>
  </si>
  <si>
    <t xml:space="preserve">    6 - 12 ton per startplats</t>
  </si>
  <si>
    <t xml:space="preserve">        &gt;70 ton per startplats</t>
  </si>
  <si>
    <t>Miljöavgift</t>
  </si>
  <si>
    <t>kr/ton produkt</t>
  </si>
  <si>
    <t>Ton per startplats</t>
  </si>
  <si>
    <t>Fiktiv värdeökn.</t>
  </si>
  <si>
    <t xml:space="preserve">                                   DIAGRAMSIFFROR</t>
  </si>
  <si>
    <t>Skogsägare</t>
  </si>
  <si>
    <t>Objekt</t>
  </si>
  <si>
    <t>Areal</t>
  </si>
  <si>
    <t xml:space="preserve"> ha</t>
  </si>
  <si>
    <t>Bonitet</t>
  </si>
  <si>
    <t xml:space="preserve"> m H100</t>
  </si>
  <si>
    <t xml:space="preserve"> ° n. br.</t>
  </si>
  <si>
    <t xml:space="preserve"> m</t>
  </si>
  <si>
    <t>Stamantal per ha</t>
  </si>
  <si>
    <t>..................................................................................................</t>
  </si>
  <si>
    <t xml:space="preserve"> st/ha</t>
  </si>
  <si>
    <t>Beståndsålder</t>
  </si>
  <si>
    <t xml:space="preserve"> år brh</t>
  </si>
  <si>
    <t xml:space="preserve"> tall/10</t>
  </si>
  <si>
    <t xml:space="preserve"> m3sk/ha</t>
  </si>
  <si>
    <t>Kvävegiva</t>
  </si>
  <si>
    <t xml:space="preserve"> kg N/ha</t>
  </si>
  <si>
    <t xml:space="preserve"> kr/m3sk</t>
  </si>
  <si>
    <t xml:space="preserve"> m3sk/ha/år</t>
  </si>
  <si>
    <t xml:space="preserve"> kr/ha</t>
  </si>
  <si>
    <t>Beräknat resultat:</t>
  </si>
  <si>
    <t>Skattad löp. tillväxt</t>
  </si>
  <si>
    <t>Tillväxtökning</t>
  </si>
  <si>
    <t>Effektperiod</t>
  </si>
  <si>
    <t xml:space="preserve"> år</t>
  </si>
  <si>
    <t>Intäktsökning</t>
  </si>
  <si>
    <t xml:space="preserve"> %</t>
  </si>
  <si>
    <t>Dimensionseffekt enl SkogForsk Res 23/2003</t>
  </si>
  <si>
    <t>Värdeökning totalt SkogForsk</t>
  </si>
  <si>
    <t>Internränta effekttid SkogForsk</t>
  </si>
  <si>
    <t>Internränta t. slutavv. SkogForsk</t>
  </si>
  <si>
    <t>Dimensionseffekt *)</t>
  </si>
  <si>
    <t xml:space="preserve">   *)  Skattningen utgår från SkogForsks försök, som anger att dimensionseffekten är </t>
  </si>
  <si>
    <t xml:space="preserve">       ca 50 % av volymeffekten.</t>
  </si>
  <si>
    <t>SG-gödsling kr/ton Skog-CAN inkl. miljöavg.</t>
  </si>
  <si>
    <t>Skriv in även denna uppgift om den är tillgänglig:</t>
  </si>
  <si>
    <t>2010  =OBS "beställitidrabatten" avdragen</t>
  </si>
  <si>
    <t>Internförräntning B</t>
  </si>
  <si>
    <t>Internförräntning A</t>
  </si>
  <si>
    <t>Gödslingskostnad B</t>
  </si>
  <si>
    <t>Gödslingskostnad A</t>
  </si>
  <si>
    <t>Fyll i rutorna som ser ut så här:</t>
  </si>
  <si>
    <t>Namn</t>
  </si>
  <si>
    <t>beståndsnummer, skifte:</t>
  </si>
  <si>
    <t>effektiva gödslingshektar</t>
  </si>
  <si>
    <t>ståndortsindex H100, ange endast siffran, rek intervall 16-30</t>
  </si>
  <si>
    <r>
      <t>breddgraden i grader (ex. 61</t>
    </r>
    <r>
      <rPr>
        <i/>
        <sz val="9"/>
        <color indexed="8"/>
        <rFont val="Calibri"/>
        <family val="2"/>
      </rPr>
      <t>°n.br.</t>
    </r>
    <r>
      <rPr>
        <i/>
        <sz val="9"/>
        <color indexed="8"/>
        <rFont val="Arial"/>
        <family val="2"/>
      </rPr>
      <t xml:space="preserve"> Mora 63° n.br. Östersund)</t>
    </r>
  </si>
  <si>
    <t>meter</t>
  </si>
  <si>
    <t>år i brösthöjd</t>
  </si>
  <si>
    <t>ange tiondedelar tall av virkesförrådet</t>
  </si>
  <si>
    <t>som m3sk per hektar. Om nygallrat, förrådet före gallring</t>
  </si>
  <si>
    <t>planerad brösthöjdsålder vid slutavverkning</t>
  </si>
  <si>
    <t>mängd kväve (N) per hektar (rek giva: 125-200 kg)</t>
  </si>
  <si>
    <t>skattning av rotvärdet i kr per m3sk vid framtida avverkning</t>
  </si>
  <si>
    <t>nuvarande tillväxt i m3sk per hektar och år</t>
  </si>
  <si>
    <t>Antal hektar som SG-gödslas från detta objekts startplats</t>
  </si>
  <si>
    <t>skattad med funktion om uppgift ej lämnad ovan</t>
  </si>
  <si>
    <t>extra virkesvolym pga gödslingen, m3sk per hektar</t>
  </si>
  <si>
    <t>hur många år som går för att få ut hela tillväxtökningen</t>
  </si>
  <si>
    <t>skattad värdeökning pga att beståndet får grövre träd</t>
  </si>
  <si>
    <t>kostnaden per hektar för gödsel, transporter och spridning</t>
  </si>
  <si>
    <t>kostnaden per m3sk för tillväxtökningen</t>
  </si>
  <si>
    <t>merintäkt per hektar vid avverkning pga gödslingen</t>
  </si>
  <si>
    <t>årlig realränta under effektperioden</t>
  </si>
  <si>
    <t xml:space="preserve">årlig realränta fram till slutavverkning, % </t>
  </si>
  <si>
    <t>Ange följande uppgifter om aktuellt bestånd:</t>
  </si>
  <si>
    <t>Kalkylen förutsätter att gödslingen görs med SG-systemet</t>
  </si>
  <si>
    <t xml:space="preserve">Med hjälp av den här kalkylen kan du beräkna tillväxtökningen och lönsamheten av skogsgödsling </t>
  </si>
  <si>
    <t xml:space="preserve">senast den 15 mars). </t>
  </si>
  <si>
    <t xml:space="preserve">Nedanstående uppgifter om bestånd och ståndort behövs för beräkningarna. De flesta av dem kan </t>
  </si>
  <si>
    <t xml:space="preserve">med kväve. Kalkylen kombinerar s.k. prognosfunktioner från SkogForsk, som baseras på en stor </t>
  </si>
  <si>
    <r>
      <t>mängd forskningsresultat, och aktuella gödslingskostnader för SG-systemet</t>
    </r>
    <r>
      <rPr>
        <sz val="8"/>
        <color indexed="8"/>
        <rFont val="Arial"/>
        <family val="2"/>
      </rPr>
      <t xml:space="preserve"> (efter rabatt för beställning </t>
    </r>
  </si>
  <si>
    <t>hämtas ur skogsbruksplanen. Vinstberäkningen blir säkrare ju mer indata som anges.</t>
  </si>
  <si>
    <t xml:space="preserve">      1 - 3 ton per startplats</t>
  </si>
  <si>
    <t>4 - 5 ton per startplats</t>
  </si>
  <si>
    <t xml:space="preserve">  35 - 70 ton per startplats</t>
  </si>
  <si>
    <t xml:space="preserve">  13 - 34 ton per startplats</t>
  </si>
  <si>
    <t>Aktuell för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</si>
</sst>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00"/>
    <numFmt numFmtId="167" formatCode="#,##0.0000"/>
    <numFmt numFmtId="168" formatCode="yy\-mm\-dd"/>
  </numFmts>
  <fonts count="48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 Black"/>
      <family val="2"/>
    </font>
    <font>
      <sz val="12"/>
      <color indexed="10"/>
      <name val="Arial"/>
      <family val="2"/>
    </font>
    <font>
      <sz val="10"/>
      <color indexed="21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Arial Black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4"/>
      <name val="Lydian"/>
      <family val="2"/>
    </font>
    <font>
      <sz val="18"/>
      <color indexed="17"/>
      <name val="Bodoni Black"/>
      <family val="2"/>
    </font>
    <font>
      <b/>
      <i/>
      <sz val="14"/>
      <color indexed="61"/>
      <name val="Lydian"/>
      <family val="2"/>
    </font>
    <font>
      <sz val="12"/>
      <color indexed="61"/>
      <name val="Arial"/>
      <family val="2"/>
    </font>
    <font>
      <b/>
      <sz val="12"/>
      <color indexed="8"/>
      <name val="Verdana"/>
      <family val="2"/>
    </font>
    <font>
      <b/>
      <sz val="14"/>
      <color indexed="17"/>
      <name val="Verdana"/>
      <family val="2"/>
    </font>
    <font>
      <b/>
      <sz val="10"/>
      <color indexed="8"/>
      <name val="Verdan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Verdana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Verdana"/>
      <family val="2"/>
    </font>
    <font>
      <i/>
      <sz val="18"/>
      <color indexed="17"/>
      <name val="Verdana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Calibri"/>
      <family val="2"/>
    </font>
    <font>
      <sz val="9"/>
      <color indexed="8"/>
      <name val="Arial Black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0"/>
      <name val="Verdana"/>
      <family val="2"/>
    </font>
    <font>
      <sz val="12"/>
      <name val="Verdana"/>
      <family val="2"/>
    </font>
    <font>
      <b/>
      <sz val="12"/>
      <color indexed="17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i/>
      <sz val="12"/>
      <color indexed="17"/>
      <name val="Verdana"/>
      <family val="2"/>
    </font>
    <font>
      <i/>
      <sz val="12"/>
      <color indexed="17"/>
      <name val="Verdana"/>
      <family val="2"/>
    </font>
    <font>
      <sz val="12"/>
      <color indexed="11"/>
      <name val="Arial Black"/>
      <family val="2"/>
    </font>
    <font>
      <i/>
      <sz val="8"/>
      <color indexed="8"/>
      <name val="Arial Black"/>
      <family val="2"/>
    </font>
    <font>
      <sz val="10"/>
      <color rgb="FF178109"/>
      <name val="Arial"/>
      <family val="2"/>
    </font>
    <font>
      <i/>
      <sz val="8"/>
      <color rgb="FF178109"/>
      <name val="Arial"/>
      <family val="2"/>
    </font>
    <font>
      <sz val="9"/>
      <color rgb="FF178109"/>
      <name val="Arial"/>
      <family val="2"/>
    </font>
    <font>
      <sz val="10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thin">
        <color rgb="FF178109"/>
      </right>
      <top/>
      <bottom style="hair"/>
    </border>
    <border>
      <left/>
      <right style="thin">
        <color rgb="FF178109"/>
      </right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178109"/>
      </left>
      <right style="thin">
        <color rgb="FF178109"/>
      </right>
      <top style="thin">
        <color rgb="FF178109"/>
      </top>
      <bottom style="thin">
        <color rgb="FF178109"/>
      </bottom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1" xfId="0" applyNumberFormat="1" applyFont="1" applyBorder="1"/>
    <xf numFmtId="0" fontId="0" fillId="0" borderId="2" xfId="0" applyNumberFormat="1" applyBorder="1"/>
    <xf numFmtId="0" fontId="0" fillId="0" borderId="0" xfId="0" applyNumberFormat="1" applyBorder="1"/>
    <xf numFmtId="0" fontId="2" fillId="0" borderId="0" xfId="0" applyNumberFormat="1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3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/>
    <xf numFmtId="2" fontId="0" fillId="0" borderId="0" xfId="0" applyNumberFormat="1"/>
    <xf numFmtId="164" fontId="3" fillId="0" borderId="0" xfId="0" applyNumberFormat="1" applyFont="1"/>
    <xf numFmtId="0" fontId="4" fillId="2" borderId="0" xfId="0" applyNumberFormat="1" applyFont="1" applyFill="1"/>
    <xf numFmtId="0" fontId="5" fillId="0" borderId="0" xfId="0" applyNumberFormat="1" applyFont="1"/>
    <xf numFmtId="0" fontId="6" fillId="0" borderId="0" xfId="0" applyNumberFormat="1" applyFont="1"/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5" xfId="0" applyNumberFormat="1" applyFont="1" applyBorder="1"/>
    <xf numFmtId="1" fontId="3" fillId="0" borderId="6" xfId="0" applyNumberFormat="1" applyFont="1" applyBorder="1"/>
    <xf numFmtId="1" fontId="3" fillId="0" borderId="0" xfId="0" applyNumberFormat="1" applyFont="1"/>
    <xf numFmtId="1" fontId="3" fillId="0" borderId="7" xfId="0" applyNumberFormat="1" applyFont="1" applyBorder="1"/>
    <xf numFmtId="1" fontId="7" fillId="0" borderId="0" xfId="0" applyNumberFormat="1" applyFont="1"/>
    <xf numFmtId="0" fontId="8" fillId="0" borderId="8" xfId="0" applyNumberFormat="1" applyFont="1" applyBorder="1"/>
    <xf numFmtId="0" fontId="8" fillId="0" borderId="9" xfId="0" applyNumberFormat="1" applyFont="1" applyBorder="1"/>
    <xf numFmtId="0" fontId="8" fillId="0" borderId="10" xfId="0" applyNumberFormat="1" applyFont="1" applyBorder="1"/>
    <xf numFmtId="164" fontId="7" fillId="0" borderId="0" xfId="0" applyNumberFormat="1" applyFont="1"/>
    <xf numFmtId="0" fontId="0" fillId="0" borderId="0" xfId="0" applyNumberFormat="1" applyProtection="1">
      <protection locked="0"/>
    </xf>
    <xf numFmtId="0" fontId="0" fillId="0" borderId="0" xfId="0" applyNumberFormat="1" applyBorder="1" applyProtection="1">
      <protection locked="0"/>
    </xf>
    <xf numFmtId="0" fontId="9" fillId="0" borderId="0" xfId="0" applyNumberFormat="1" applyFont="1" applyBorder="1" applyAlignment="1" applyProtection="1">
      <alignment horizontal="right"/>
      <protection locked="0"/>
    </xf>
    <xf numFmtId="0" fontId="13" fillId="3" borderId="0" xfId="0" applyNumberFormat="1" applyFont="1" applyFill="1" applyBorder="1" applyProtection="1"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horizontal="right"/>
      <protection/>
    </xf>
    <xf numFmtId="0" fontId="14" fillId="0" borderId="0" xfId="0" applyNumberFormat="1" applyFont="1" applyProtection="1">
      <protection/>
    </xf>
    <xf numFmtId="0" fontId="0" fillId="0" borderId="0" xfId="0" applyNumberFormat="1" applyProtection="1">
      <protection/>
    </xf>
    <xf numFmtId="168" fontId="16" fillId="0" borderId="0" xfId="0" applyNumberFormat="1" applyFont="1" applyProtection="1" quotePrefix="1">
      <protection/>
    </xf>
    <xf numFmtId="0" fontId="0" fillId="3" borderId="0" xfId="0" applyNumberFormat="1" applyFill="1" applyBorder="1" applyProtection="1">
      <protection/>
    </xf>
    <xf numFmtId="0" fontId="0" fillId="3" borderId="0" xfId="0" applyFill="1" applyBorder="1" applyProtection="1">
      <protection/>
    </xf>
    <xf numFmtId="0" fontId="15" fillId="0" borderId="0" xfId="0" applyNumberFormat="1" applyFont="1" applyProtection="1">
      <protection/>
    </xf>
    <xf numFmtId="0" fontId="11" fillId="0" borderId="0" xfId="0" applyNumberFormat="1" applyFont="1" applyProtection="1">
      <protection/>
    </xf>
    <xf numFmtId="0" fontId="1" fillId="0" borderId="0" xfId="0" applyNumberFormat="1" applyFont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Protection="1">
      <protection/>
    </xf>
    <xf numFmtId="0" fontId="0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Protection="1">
      <protection/>
    </xf>
    <xf numFmtId="0" fontId="19" fillId="0" borderId="0" xfId="0" applyNumberFormat="1" applyFont="1" applyProtection="1">
      <protection locked="0"/>
    </xf>
    <xf numFmtId="0" fontId="21" fillId="0" borderId="0" xfId="0" applyNumberFormat="1" applyFont="1" applyProtection="1">
      <protection/>
    </xf>
    <xf numFmtId="0" fontId="21" fillId="0" borderId="0" xfId="0" applyNumberFormat="1" applyFont="1" applyProtection="1">
      <protection locked="0"/>
    </xf>
    <xf numFmtId="0" fontId="0" fillId="0" borderId="0" xfId="0" applyNumberFormat="1" applyFont="1" applyProtection="1">
      <protection/>
    </xf>
    <xf numFmtId="0" fontId="44" fillId="0" borderId="0" xfId="0" applyNumberFormat="1" applyFont="1" applyProtection="1">
      <protection locked="0"/>
    </xf>
    <xf numFmtId="0" fontId="22" fillId="0" borderId="0" xfId="0" applyNumberFormat="1" applyFont="1" applyProtection="1">
      <protection/>
    </xf>
    <xf numFmtId="0" fontId="23" fillId="0" borderId="0" xfId="0" applyNumberFormat="1" applyFont="1" applyProtection="1">
      <protection/>
    </xf>
    <xf numFmtId="0" fontId="24" fillId="0" borderId="0" xfId="0" applyNumberFormat="1" applyFont="1" applyProtection="1">
      <protection/>
    </xf>
    <xf numFmtId="0" fontId="21" fillId="0" borderId="0" xfId="0" applyNumberFormat="1" applyFont="1" applyAlignment="1" applyProtection="1">
      <alignment vertical="center"/>
      <protection/>
    </xf>
    <xf numFmtId="0" fontId="26" fillId="0" borderId="0" xfId="0" applyNumberFormat="1" applyFont="1" applyProtection="1">
      <protection/>
    </xf>
    <xf numFmtId="0" fontId="22" fillId="0" borderId="0" xfId="0" applyNumberFormat="1" applyFont="1" applyAlignment="1" applyProtection="1">
      <alignment vertical="center"/>
      <protection/>
    </xf>
    <xf numFmtId="0" fontId="22" fillId="0" borderId="0" xfId="0" applyNumberFormat="1" applyFont="1" applyProtection="1">
      <protection locked="0"/>
    </xf>
    <xf numFmtId="0" fontId="18" fillId="0" borderId="0" xfId="0" applyNumberFormat="1" applyFont="1" applyAlignment="1" applyProtection="1">
      <alignment/>
      <protection/>
    </xf>
    <xf numFmtId="0" fontId="19" fillId="0" borderId="0" xfId="0" applyNumberFormat="1" applyFont="1" applyAlignment="1" applyProtection="1">
      <alignment/>
      <protection/>
    </xf>
    <xf numFmtId="0" fontId="19" fillId="0" borderId="0" xfId="0" applyNumberFormat="1" applyFont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26" fillId="0" borderId="0" xfId="0" applyNumberFormat="1" applyFont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vertical="center"/>
      <protection/>
    </xf>
    <xf numFmtId="0" fontId="33" fillId="0" borderId="0" xfId="0" applyNumberFormat="1" applyFont="1" applyAlignment="1" applyProtection="1">
      <alignment vertical="center"/>
      <protection/>
    </xf>
    <xf numFmtId="0" fontId="3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9" fillId="0" borderId="11" xfId="0" applyNumberFormat="1" applyFont="1" applyFill="1" applyBorder="1" applyProtection="1">
      <protection/>
    </xf>
    <xf numFmtId="0" fontId="25" fillId="0" borderId="12" xfId="0" applyNumberFormat="1" applyFont="1" applyFill="1" applyBorder="1" applyProtection="1">
      <protection/>
    </xf>
    <xf numFmtId="0" fontId="17" fillId="0" borderId="12" xfId="0" applyNumberFormat="1" applyFont="1" applyFill="1" applyBorder="1" applyProtection="1">
      <protection/>
    </xf>
    <xf numFmtId="0" fontId="18" fillId="0" borderId="13" xfId="0" applyNumberFormat="1" applyFont="1" applyFill="1" applyBorder="1" applyProtection="1">
      <protection/>
    </xf>
    <xf numFmtId="0" fontId="25" fillId="0" borderId="12" xfId="0" applyNumberFormat="1" applyFont="1" applyFill="1" applyBorder="1" applyAlignment="1" applyProtection="1">
      <alignment horizontal="right"/>
      <protection/>
    </xf>
    <xf numFmtId="0" fontId="25" fillId="0" borderId="12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25" fillId="0" borderId="14" xfId="0" applyNumberFormat="1" applyFont="1" applyBorder="1" applyProtection="1">
      <protection/>
    </xf>
    <xf numFmtId="0" fontId="18" fillId="0" borderId="14" xfId="0" applyNumberFormat="1" applyFont="1" applyBorder="1" applyProtection="1">
      <protection/>
    </xf>
    <xf numFmtId="0" fontId="18" fillId="0" borderId="11" xfId="0" applyNumberFormat="1" applyFont="1" applyBorder="1" applyProtection="1">
      <protection/>
    </xf>
    <xf numFmtId="0" fontId="22" fillId="0" borderId="14" xfId="0" applyNumberFormat="1" applyFont="1" applyBorder="1" applyAlignment="1" applyProtection="1">
      <alignment vertical="center"/>
      <protection/>
    </xf>
    <xf numFmtId="0" fontId="30" fillId="0" borderId="14" xfId="0" applyNumberFormat="1" applyFont="1" applyBorder="1" applyAlignment="1" applyProtection="1">
      <alignment vertical="center"/>
      <protection/>
    </xf>
    <xf numFmtId="0" fontId="19" fillId="0" borderId="14" xfId="0" applyNumberFormat="1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0" fontId="25" fillId="0" borderId="14" xfId="0" applyNumberFormat="1" applyFont="1" applyBorder="1" applyAlignment="1" applyProtection="1">
      <alignment vertical="center"/>
      <protection/>
    </xf>
    <xf numFmtId="0" fontId="19" fillId="0" borderId="15" xfId="0" applyNumberFormat="1" applyFont="1" applyBorder="1" applyAlignment="1" applyProtection="1">
      <alignment vertical="center"/>
      <protection/>
    </xf>
    <xf numFmtId="0" fontId="25" fillId="0" borderId="12" xfId="0" applyNumberFormat="1" applyFont="1" applyBorder="1" applyAlignment="1" applyProtection="1">
      <alignment vertical="center"/>
      <protection/>
    </xf>
    <xf numFmtId="0" fontId="18" fillId="0" borderId="12" xfId="0" applyNumberFormat="1" applyFont="1" applyBorder="1" applyAlignment="1" applyProtection="1">
      <alignment vertical="center"/>
      <protection/>
    </xf>
    <xf numFmtId="0" fontId="18" fillId="0" borderId="16" xfId="0" applyNumberFormat="1" applyFont="1" applyBorder="1" applyAlignment="1" applyProtection="1">
      <alignment vertical="center"/>
      <protection/>
    </xf>
    <xf numFmtId="49" fontId="27" fillId="4" borderId="17" xfId="0" applyNumberFormat="1" applyFont="1" applyFill="1" applyBorder="1" applyProtection="1">
      <protection locked="0"/>
    </xf>
    <xf numFmtId="0" fontId="33" fillId="4" borderId="2" xfId="0" applyNumberFormat="1" applyFont="1" applyFill="1" applyBorder="1" applyAlignment="1" applyProtection="1">
      <alignment vertical="center"/>
      <protection locked="0"/>
    </xf>
    <xf numFmtId="0" fontId="33" fillId="4" borderId="18" xfId="0" applyNumberFormat="1" applyFont="1" applyFill="1" applyBorder="1" applyAlignment="1" applyProtection="1">
      <alignment vertical="center"/>
      <protection locked="0"/>
    </xf>
    <xf numFmtId="0" fontId="34" fillId="4" borderId="18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Protection="1">
      <protection/>
    </xf>
    <xf numFmtId="0" fontId="22" fillId="0" borderId="0" xfId="0" applyNumberFormat="1" applyFont="1" applyFill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Protection="1">
      <protection locked="0"/>
    </xf>
    <xf numFmtId="164" fontId="32" fillId="0" borderId="19" xfId="0" applyNumberFormat="1" applyFont="1" applyFill="1" applyBorder="1" applyAlignment="1" applyProtection="1">
      <alignment vertical="center"/>
      <protection/>
    </xf>
    <xf numFmtId="3" fontId="32" fillId="0" borderId="19" xfId="0" applyNumberFormat="1" applyFont="1" applyFill="1" applyBorder="1" applyAlignment="1" applyProtection="1">
      <alignment vertical="center"/>
      <protection/>
    </xf>
    <xf numFmtId="1" fontId="32" fillId="0" borderId="19" xfId="0" applyNumberFormat="1" applyFont="1" applyFill="1" applyBorder="1" applyAlignment="1" applyProtection="1">
      <alignment vertical="center"/>
      <protection/>
    </xf>
    <xf numFmtId="0" fontId="32" fillId="0" borderId="19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Protection="1">
      <protection/>
    </xf>
    <xf numFmtId="0" fontId="36" fillId="0" borderId="0" xfId="0" applyNumberFormat="1" applyFont="1" applyFill="1" applyProtection="1">
      <protection/>
    </xf>
    <xf numFmtId="0" fontId="36" fillId="4" borderId="0" xfId="0" applyNumberFormat="1" applyFont="1" applyFill="1" applyProtection="1">
      <protection/>
    </xf>
    <xf numFmtId="0" fontId="37" fillId="0" borderId="0" xfId="0" applyNumberFormat="1" applyFont="1" applyProtection="1">
      <protection/>
    </xf>
    <xf numFmtId="0" fontId="38" fillId="0" borderId="0" xfId="0" applyNumberFormat="1" applyFont="1" applyProtection="1">
      <protection/>
    </xf>
    <xf numFmtId="0" fontId="38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vertical="center"/>
      <protection/>
    </xf>
    <xf numFmtId="0" fontId="39" fillId="0" borderId="0" xfId="0" applyNumberFormat="1" applyFont="1" applyProtection="1">
      <protection locked="0"/>
    </xf>
    <xf numFmtId="0" fontId="40" fillId="4" borderId="0" xfId="0" applyNumberFormat="1" applyFont="1" applyFill="1" applyProtection="1">
      <protection/>
    </xf>
    <xf numFmtId="0" fontId="37" fillId="4" borderId="0" xfId="0" applyNumberFormat="1" applyFont="1" applyFill="1" applyProtection="1">
      <protection/>
    </xf>
    <xf numFmtId="0" fontId="39" fillId="4" borderId="0" xfId="0" applyNumberFormat="1" applyFont="1" applyFill="1" applyProtection="1">
      <protection/>
    </xf>
    <xf numFmtId="0" fontId="39" fillId="0" borderId="0" xfId="0" applyNumberFormat="1" applyFont="1" applyFill="1" applyProtection="1">
      <protection/>
    </xf>
    <xf numFmtId="0" fontId="39" fillId="0" borderId="0" xfId="0" applyNumberFormat="1" applyFont="1" applyAlignment="1" applyProtection="1">
      <alignment vertical="center"/>
      <protection/>
    </xf>
    <xf numFmtId="0" fontId="41" fillId="4" borderId="0" xfId="0" applyNumberFormat="1" applyFont="1" applyFill="1" applyProtection="1">
      <protection/>
    </xf>
    <xf numFmtId="0" fontId="6" fillId="4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42" fillId="0" borderId="0" xfId="0" applyNumberFormat="1" applyFont="1" applyProtection="1">
      <protection locked="0"/>
    </xf>
    <xf numFmtId="0" fontId="33" fillId="0" borderId="0" xfId="0" applyNumberFormat="1" applyFont="1" applyFill="1" applyProtection="1">
      <protection/>
    </xf>
    <xf numFmtId="0" fontId="39" fillId="0" borderId="0" xfId="0" applyNumberFormat="1" applyFont="1" applyFill="1" applyAlignment="1" applyProtection="1">
      <alignment horizontal="right"/>
      <protection/>
    </xf>
    <xf numFmtId="49" fontId="19" fillId="4" borderId="20" xfId="0" applyNumberFormat="1" applyFont="1" applyFill="1" applyBorder="1" applyProtection="1">
      <protection/>
    </xf>
    <xf numFmtId="1" fontId="43" fillId="0" borderId="0" xfId="0" applyNumberFormat="1" applyFont="1" applyBorder="1" applyAlignment="1" applyProtection="1">
      <alignment vertical="center"/>
      <protection/>
    </xf>
    <xf numFmtId="0" fontId="45" fillId="0" borderId="0" xfId="0" applyNumberFormat="1" applyFont="1" applyProtection="1">
      <protection/>
    </xf>
    <xf numFmtId="0" fontId="0" fillId="0" borderId="0" xfId="0" applyNumberFormat="1" applyFont="1" applyBorder="1" applyProtection="1">
      <protection/>
    </xf>
    <xf numFmtId="0" fontId="10" fillId="0" borderId="0" xfId="0" applyNumberFormat="1" applyFont="1" applyBorder="1" applyProtection="1">
      <protection/>
    </xf>
    <xf numFmtId="0" fontId="12" fillId="0" borderId="0" xfId="0" applyNumberFormat="1" applyFont="1" applyFill="1" applyBorder="1" applyProtection="1">
      <protection/>
    </xf>
    <xf numFmtId="0" fontId="28" fillId="0" borderId="0" xfId="0" applyNumberFormat="1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19" fillId="4" borderId="18" xfId="0" applyNumberFormat="1" applyFont="1" applyFill="1" applyBorder="1" applyAlignment="1" applyProtection="1">
      <alignment/>
      <protection/>
    </xf>
    <xf numFmtId="0" fontId="42" fillId="0" borderId="0" xfId="0" applyNumberFormat="1" applyFont="1" applyProtection="1">
      <protection/>
    </xf>
    <xf numFmtId="0" fontId="33" fillId="0" borderId="0" xfId="0" applyNumberFormat="1" applyFont="1" applyBorder="1" applyAlignment="1" applyProtection="1">
      <alignment vertical="center"/>
      <protection/>
    </xf>
    <xf numFmtId="0" fontId="27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Fill="1" applyAlignment="1" applyProtection="1">
      <alignment vertical="center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3</xdr:row>
      <xdr:rowOff>352425</xdr:rowOff>
    </xdr:to>
    <xdr:pic>
      <xdr:nvPicPr>
        <xdr:cNvPr id="20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3790950" cy="809625"/>
        </a:xfrm>
        <a:prstGeom prst="rect">
          <a:avLst/>
        </a:prstGeom>
        <a:noFill/>
        <a:ln w="1">
          <a:noFill/>
        </a:ln>
      </xdr:spPr>
    </xdr:pic>
    <xdr:clientData/>
  </xdr:twoCellAnchor>
  <xdr:twoCellAnchor>
    <xdr:from>
      <xdr:col>1</xdr:col>
      <xdr:colOff>2371725</xdr:colOff>
      <xdr:row>0</xdr:row>
      <xdr:rowOff>19050</xdr:rowOff>
    </xdr:from>
    <xdr:to>
      <xdr:col>1</xdr:col>
      <xdr:colOff>2733675</xdr:colOff>
      <xdr:row>7</xdr:row>
      <xdr:rowOff>19050</xdr:rowOff>
    </xdr:to>
    <xdr:sp macro="" textlink="">
      <xdr:nvSpPr>
        <xdr:cNvPr id="4" name="TextBox 3"/>
        <xdr:cNvSpPr txBox="1"/>
      </xdr:nvSpPr>
      <xdr:spPr>
        <a:xfrm>
          <a:off x="3609975" y="19050"/>
          <a:ext cx="3619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0"/>
  <sheetViews>
    <sheetView workbookViewId="0" topLeftCell="A28">
      <selection activeCell="J97" sqref="J97"/>
    </sheetView>
  </sheetViews>
  <sheetFormatPr defaultColWidth="14.7109375" defaultRowHeight="12.75"/>
  <cols>
    <col min="1" max="1" width="43.28125" style="1" customWidth="1"/>
    <col min="2" max="2" width="12.421875" style="2" customWidth="1"/>
    <col min="3" max="3" width="10.00390625" style="1" customWidth="1"/>
    <col min="4" max="6" width="8.57421875" style="1" hidden="1" customWidth="1"/>
    <col min="7" max="7" width="9.8515625" style="1" hidden="1" customWidth="1"/>
    <col min="8" max="8" width="8.57421875" style="1" hidden="1" customWidth="1"/>
    <col min="9" max="9" width="9.8515625" style="1" customWidth="1"/>
    <col min="10" max="10" width="14.7109375" style="1" customWidth="1"/>
    <col min="11" max="14" width="7.28125" style="1" customWidth="1"/>
    <col min="15" max="15" width="11.140625" style="1" customWidth="1"/>
    <col min="16" max="16" width="2.140625" style="1" customWidth="1"/>
    <col min="17" max="17" width="9.8515625" style="1" customWidth="1"/>
    <col min="18" max="16384" width="14.7109375" style="1" customWidth="1"/>
  </cols>
  <sheetData>
    <row r="2" ht="12.75">
      <c r="C2" s="3" t="s">
        <v>0</v>
      </c>
    </row>
    <row r="3" spans="1:8" ht="12.75">
      <c r="A3" s="1" t="s">
        <v>1</v>
      </c>
      <c r="B3" s="2" t="s">
        <v>2</v>
      </c>
      <c r="C3" s="4">
        <f>'Gödkalk 24'!H30</f>
        <v>150</v>
      </c>
      <c r="D3" s="1">
        <v>110</v>
      </c>
      <c r="E3" s="1">
        <v>130</v>
      </c>
      <c r="F3" s="1">
        <v>150</v>
      </c>
      <c r="G3" s="5">
        <v>170</v>
      </c>
      <c r="H3" s="5">
        <v>190</v>
      </c>
    </row>
    <row r="4" spans="1:8" ht="12.75">
      <c r="A4" s="1" t="s">
        <v>3</v>
      </c>
      <c r="B4" s="2" t="s">
        <v>4</v>
      </c>
      <c r="C4" s="1">
        <f>'Gödkalk 24'!H21</f>
        <v>11</v>
      </c>
      <c r="D4" s="1">
        <f aca="true" t="shared" si="0" ref="D4:H14">C4</f>
        <v>11</v>
      </c>
      <c r="E4" s="1">
        <f>C4</f>
        <v>11</v>
      </c>
      <c r="F4" s="1">
        <f>C4</f>
        <v>11</v>
      </c>
      <c r="G4" s="1">
        <f>D4</f>
        <v>11</v>
      </c>
      <c r="H4" s="1">
        <f>E4</f>
        <v>11</v>
      </c>
    </row>
    <row r="5" spans="1:8" ht="12.75">
      <c r="A5" s="1" t="s">
        <v>5</v>
      </c>
      <c r="B5" s="2" t="s">
        <v>4</v>
      </c>
      <c r="C5" s="1">
        <f>'Gödkalk 24'!H39</f>
        <v>11</v>
      </c>
      <c r="D5" s="1">
        <f t="shared" si="0"/>
        <v>11</v>
      </c>
      <c r="E5" s="1">
        <f t="shared" si="0"/>
        <v>11</v>
      </c>
      <c r="F5" s="1">
        <f t="shared" si="0"/>
        <v>11</v>
      </c>
      <c r="G5" s="1">
        <f t="shared" si="0"/>
        <v>11</v>
      </c>
      <c r="H5" s="1">
        <f t="shared" si="0"/>
        <v>11</v>
      </c>
    </row>
    <row r="6" spans="1:8" ht="12.75">
      <c r="A6" s="1" t="s">
        <v>6</v>
      </c>
      <c r="B6" s="2" t="s">
        <v>7</v>
      </c>
      <c r="C6" s="1">
        <f>'Gödkalk 24'!H22</f>
        <v>24</v>
      </c>
      <c r="D6" s="1">
        <f t="shared" si="0"/>
        <v>24</v>
      </c>
      <c r="E6" s="1">
        <f t="shared" si="0"/>
        <v>24</v>
      </c>
      <c r="F6" s="1">
        <f t="shared" si="0"/>
        <v>24</v>
      </c>
      <c r="G6" s="1">
        <f t="shared" si="0"/>
        <v>24</v>
      </c>
      <c r="H6" s="1">
        <f t="shared" si="0"/>
        <v>24</v>
      </c>
    </row>
    <row r="7" spans="1:8" ht="12.75">
      <c r="A7" s="1" t="s">
        <v>8</v>
      </c>
      <c r="B7" s="2" t="s">
        <v>9</v>
      </c>
      <c r="C7" s="1">
        <f>'Gödkalk 24'!H23</f>
        <v>61</v>
      </c>
      <c r="D7" s="1">
        <f t="shared" si="0"/>
        <v>61</v>
      </c>
      <c r="E7" s="1">
        <f t="shared" si="0"/>
        <v>61</v>
      </c>
      <c r="F7" s="1">
        <f t="shared" si="0"/>
        <v>61</v>
      </c>
      <c r="G7" s="1">
        <f t="shared" si="0"/>
        <v>61</v>
      </c>
      <c r="H7" s="1">
        <f t="shared" si="0"/>
        <v>61</v>
      </c>
    </row>
    <row r="8" spans="1:8" ht="12.75">
      <c r="A8" s="1" t="s">
        <v>10</v>
      </c>
      <c r="B8" s="2" t="s">
        <v>11</v>
      </c>
      <c r="C8" s="1">
        <f>'Gödkalk 24'!H24</f>
        <v>200</v>
      </c>
      <c r="D8" s="1">
        <f t="shared" si="0"/>
        <v>200</v>
      </c>
      <c r="E8" s="1">
        <f t="shared" si="0"/>
        <v>200</v>
      </c>
      <c r="F8" s="1">
        <f t="shared" si="0"/>
        <v>200</v>
      </c>
      <c r="G8" s="1">
        <f t="shared" si="0"/>
        <v>200</v>
      </c>
      <c r="H8" s="1">
        <f t="shared" si="0"/>
        <v>200</v>
      </c>
    </row>
    <row r="9" spans="1:8" ht="12.75" hidden="1">
      <c r="A9" s="1" t="s">
        <v>12</v>
      </c>
      <c r="B9" s="2" t="s">
        <v>13</v>
      </c>
      <c r="C9" s="1">
        <f>'Gödkalk 24'!H25</f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</row>
    <row r="10" spans="1:8" ht="12.75">
      <c r="A10" s="1" t="s">
        <v>14</v>
      </c>
      <c r="B10" s="2" t="s">
        <v>15</v>
      </c>
      <c r="C10" s="1">
        <f>'Gödkalk 24'!H26</f>
        <v>80</v>
      </c>
      <c r="D10" s="1">
        <f t="shared" si="0"/>
        <v>80</v>
      </c>
      <c r="E10" s="1">
        <f t="shared" si="0"/>
        <v>80</v>
      </c>
      <c r="F10" s="1">
        <f t="shared" si="0"/>
        <v>80</v>
      </c>
      <c r="G10" s="1">
        <f t="shared" si="0"/>
        <v>80</v>
      </c>
      <c r="H10" s="1">
        <f t="shared" si="0"/>
        <v>80</v>
      </c>
    </row>
    <row r="11" spans="1:8" ht="12.75">
      <c r="A11" s="1" t="s">
        <v>16</v>
      </c>
      <c r="B11" s="2" t="s">
        <v>17</v>
      </c>
      <c r="C11" s="1">
        <f>'Gödkalk 24'!H27</f>
        <v>50</v>
      </c>
      <c r="D11" s="1">
        <f t="shared" si="0"/>
        <v>50</v>
      </c>
      <c r="E11" s="1">
        <f t="shared" si="0"/>
        <v>50</v>
      </c>
      <c r="F11" s="1">
        <f t="shared" si="0"/>
        <v>50</v>
      </c>
      <c r="G11" s="1">
        <f t="shared" si="0"/>
        <v>50</v>
      </c>
      <c r="H11" s="1">
        <f t="shared" si="0"/>
        <v>50</v>
      </c>
    </row>
    <row r="12" spans="1:14" ht="13.5">
      <c r="A12" s="1" t="s">
        <v>18</v>
      </c>
      <c r="B12" s="2" t="s">
        <v>19</v>
      </c>
      <c r="C12" s="1">
        <f>'Gödkalk 24'!H28</f>
        <v>200</v>
      </c>
      <c r="D12" s="1">
        <f t="shared" si="0"/>
        <v>200</v>
      </c>
      <c r="E12" s="1">
        <f t="shared" si="0"/>
        <v>200</v>
      </c>
      <c r="F12" s="1">
        <f t="shared" si="0"/>
        <v>200</v>
      </c>
      <c r="G12" s="1">
        <f t="shared" si="0"/>
        <v>200</v>
      </c>
      <c r="H12" s="1">
        <f t="shared" si="0"/>
        <v>200</v>
      </c>
      <c r="N12" s="6"/>
    </row>
    <row r="13" spans="1:14" ht="13.5">
      <c r="A13" s="1" t="s">
        <v>20</v>
      </c>
      <c r="B13" s="2" t="s">
        <v>21</v>
      </c>
      <c r="C13" s="7">
        <f>'Gödkalk 24'!H31</f>
        <v>550</v>
      </c>
      <c r="D13" s="1">
        <f t="shared" si="0"/>
        <v>550</v>
      </c>
      <c r="E13" s="1">
        <f t="shared" si="0"/>
        <v>550</v>
      </c>
      <c r="F13" s="1">
        <f t="shared" si="0"/>
        <v>550</v>
      </c>
      <c r="G13" s="1">
        <f t="shared" si="0"/>
        <v>550</v>
      </c>
      <c r="H13" s="1">
        <f t="shared" si="0"/>
        <v>550</v>
      </c>
      <c r="N13" s="6"/>
    </row>
    <row r="14" spans="1:14" ht="13.5">
      <c r="A14" s="1" t="s">
        <v>22</v>
      </c>
      <c r="B14" s="2" t="s">
        <v>23</v>
      </c>
      <c r="C14" s="1">
        <f>'Gödkalk 24'!H35</f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N14" s="6"/>
    </row>
    <row r="15" ht="13.5">
      <c r="N15" s="6"/>
    </row>
    <row r="16" spans="1:14" ht="13.5" hidden="1">
      <c r="A16" s="1" t="s">
        <v>24</v>
      </c>
      <c r="B16" s="2" t="s">
        <v>21</v>
      </c>
      <c r="C16" s="1" t="e">
        <f>IF(C7&lt;59,(C40-C43)/10*C11+C43,IF(C7&gt;61,(C38-C41)/10*C11+C41,(C39-C42)/10*C11+C42))</f>
        <v>#DIV/0!</v>
      </c>
      <c r="D16" s="1" t="e">
        <f aca="true" t="shared" si="1" ref="D16:H18">C16</f>
        <v>#DIV/0!</v>
      </c>
      <c r="E16" s="1" t="e">
        <f t="shared" si="1"/>
        <v>#DIV/0!</v>
      </c>
      <c r="F16" s="1" t="e">
        <f t="shared" si="1"/>
        <v>#DIV/0!</v>
      </c>
      <c r="G16" s="1" t="e">
        <f t="shared" si="1"/>
        <v>#DIV/0!</v>
      </c>
      <c r="H16" s="1" t="e">
        <f t="shared" si="1"/>
        <v>#DIV/0!</v>
      </c>
      <c r="N16" s="6"/>
    </row>
    <row r="17" spans="1:14" ht="13.5" hidden="1">
      <c r="A17" s="1" t="s">
        <v>25</v>
      </c>
      <c r="B17" s="2" t="s">
        <v>21</v>
      </c>
      <c r="C17" s="1">
        <f>IF($C$7&lt;59,205+1.2*$C$11,IF($C$7&gt;61,191+4.5*$C$11,196+5.3*$C$11))</f>
        <v>461</v>
      </c>
      <c r="D17" s="1">
        <f t="shared" si="1"/>
        <v>461</v>
      </c>
      <c r="E17" s="1">
        <f t="shared" si="1"/>
        <v>461</v>
      </c>
      <c r="F17" s="1">
        <f t="shared" si="1"/>
        <v>461</v>
      </c>
      <c r="G17" s="1">
        <f t="shared" si="1"/>
        <v>461</v>
      </c>
      <c r="H17" s="1">
        <f t="shared" si="1"/>
        <v>461</v>
      </c>
      <c r="N17" s="6"/>
    </row>
    <row r="18" spans="1:8" ht="12.75" hidden="1">
      <c r="A18" s="1" t="s">
        <v>26</v>
      </c>
      <c r="B18" s="2" t="s">
        <v>21</v>
      </c>
      <c r="C18" s="1" t="e">
        <f>C16</f>
        <v>#DIV/0!</v>
      </c>
      <c r="D18" s="1" t="e">
        <f t="shared" si="1"/>
        <v>#DIV/0!</v>
      </c>
      <c r="E18" s="1" t="e">
        <f t="shared" si="1"/>
        <v>#DIV/0!</v>
      </c>
      <c r="F18" s="1" t="e">
        <f t="shared" si="1"/>
        <v>#DIV/0!</v>
      </c>
      <c r="G18" s="1" t="e">
        <f t="shared" si="1"/>
        <v>#DIV/0!</v>
      </c>
      <c r="H18" s="1" t="e">
        <f t="shared" si="1"/>
        <v>#DIV/0!</v>
      </c>
    </row>
    <row r="20" spans="1:8" ht="12.75">
      <c r="A20" s="1" t="s">
        <v>27</v>
      </c>
      <c r="C20" s="1">
        <f>IF(C11&lt;5,0.5239+199.543/(C10+9),0.5865+146.35/(C10+9))</f>
        <v>2.23088202247191</v>
      </c>
      <c r="D20" s="1">
        <f aca="true" t="shared" si="2" ref="D20:H23">C20</f>
        <v>2.23088202247191</v>
      </c>
      <c r="E20" s="1">
        <f t="shared" si="2"/>
        <v>2.23088202247191</v>
      </c>
      <c r="F20" s="1">
        <f t="shared" si="2"/>
        <v>2.23088202247191</v>
      </c>
      <c r="G20" s="1">
        <f t="shared" si="2"/>
        <v>2.23088202247191</v>
      </c>
      <c r="H20" s="1">
        <f t="shared" si="2"/>
        <v>2.23088202247191</v>
      </c>
    </row>
    <row r="21" spans="1:8" ht="12.75">
      <c r="A21" s="1" t="s">
        <v>28</v>
      </c>
      <c r="C21" s="1">
        <f>(9.5*C6-71)*IF(C10&lt;59,0.019*(C10+11)-0.078,0.0065*(C10+11)+0.785)</f>
        <v>216.1105</v>
      </c>
      <c r="D21" s="1">
        <f t="shared" si="2"/>
        <v>216.1105</v>
      </c>
      <c r="E21" s="1">
        <f t="shared" si="2"/>
        <v>216.1105</v>
      </c>
      <c r="F21" s="1">
        <f t="shared" si="2"/>
        <v>216.1105</v>
      </c>
      <c r="G21" s="1">
        <f t="shared" si="2"/>
        <v>216.1105</v>
      </c>
      <c r="H21" s="1">
        <f t="shared" si="2"/>
        <v>216.1105</v>
      </c>
    </row>
    <row r="22" spans="1:8" ht="12.75">
      <c r="A22" s="1" t="s">
        <v>29</v>
      </c>
      <c r="B22" s="2" t="s">
        <v>23</v>
      </c>
      <c r="C22" s="8">
        <f>C20*(C21/C12)^(1/3)*C12/100</f>
        <v>4.578485996705322</v>
      </c>
      <c r="D22" s="8">
        <f t="shared" si="2"/>
        <v>4.578485996705322</v>
      </c>
      <c r="E22" s="8">
        <f t="shared" si="2"/>
        <v>4.578485996705322</v>
      </c>
      <c r="F22" s="8">
        <f t="shared" si="2"/>
        <v>4.578485996705322</v>
      </c>
      <c r="G22" s="8">
        <f t="shared" si="2"/>
        <v>4.578485996705322</v>
      </c>
      <c r="H22" s="8">
        <f t="shared" si="2"/>
        <v>4.578485996705322</v>
      </c>
    </row>
    <row r="23" spans="1:8" ht="12.75">
      <c r="A23" s="1" t="s">
        <v>30</v>
      </c>
      <c r="B23" s="2" t="s">
        <v>23</v>
      </c>
      <c r="C23" s="8">
        <f>IF(C14&gt;0,C14,C22)</f>
        <v>4.578485996705322</v>
      </c>
      <c r="D23" s="8">
        <f t="shared" si="2"/>
        <v>4.578485996705322</v>
      </c>
      <c r="E23" s="8">
        <f t="shared" si="2"/>
        <v>4.578485996705322</v>
      </c>
      <c r="F23" s="8">
        <f t="shared" si="2"/>
        <v>4.578485996705322</v>
      </c>
      <c r="G23" s="8">
        <f t="shared" si="2"/>
        <v>4.578485996705322</v>
      </c>
      <c r="H23" s="8">
        <f t="shared" si="2"/>
        <v>4.578485996705322</v>
      </c>
    </row>
    <row r="24" spans="3:8" ht="12.75">
      <c r="C24" s="9"/>
      <c r="D24" s="9"/>
      <c r="E24" s="9"/>
      <c r="F24" s="9"/>
      <c r="G24" s="9"/>
      <c r="H24" s="9"/>
    </row>
    <row r="25" spans="3:8" ht="12.75">
      <c r="C25" s="9"/>
      <c r="D25" s="9"/>
      <c r="E25" s="9"/>
      <c r="F25" s="9"/>
      <c r="G25" s="9"/>
      <c r="H25" s="9"/>
    </row>
    <row r="26" spans="1:8" ht="12.75">
      <c r="A26" s="1" t="s">
        <v>31</v>
      </c>
      <c r="B26" s="2" t="s">
        <v>32</v>
      </c>
      <c r="C26" s="10" t="e">
        <f aca="true" t="shared" si="3" ref="C26:H26">(C12+C36*C22)/C9</f>
        <v>#DIV/0!</v>
      </c>
      <c r="D26" s="10" t="e">
        <f t="shared" si="3"/>
        <v>#DIV/0!</v>
      </c>
      <c r="E26" s="10" t="e">
        <f t="shared" si="3"/>
        <v>#DIV/0!</v>
      </c>
      <c r="F26" s="10" t="e">
        <f t="shared" si="3"/>
        <v>#DIV/0!</v>
      </c>
      <c r="G26" s="10" t="e">
        <f t="shared" si="3"/>
        <v>#DIV/0!</v>
      </c>
      <c r="H26" s="10" t="e">
        <f t="shared" si="3"/>
        <v>#DIV/0!</v>
      </c>
    </row>
    <row r="27" spans="1:8" ht="12.75">
      <c r="A27" s="1" t="s">
        <v>33</v>
      </c>
      <c r="B27" s="2" t="s">
        <v>32</v>
      </c>
      <c r="C27" s="10" t="e">
        <f aca="true" t="shared" si="4" ref="C27:H27">C26+C33/C9</f>
        <v>#DIV/0!</v>
      </c>
      <c r="D27" s="10" t="e">
        <f t="shared" si="4"/>
        <v>#DIV/0!</v>
      </c>
      <c r="E27" s="10" t="e">
        <f t="shared" si="4"/>
        <v>#DIV/0!</v>
      </c>
      <c r="F27" s="10" t="e">
        <f t="shared" si="4"/>
        <v>#DIV/0!</v>
      </c>
      <c r="G27" s="10" t="e">
        <f t="shared" si="4"/>
        <v>#DIV/0!</v>
      </c>
      <c r="H27" s="10" t="e">
        <f t="shared" si="4"/>
        <v>#DIV/0!</v>
      </c>
    </row>
    <row r="28" spans="3:8" ht="12.75">
      <c r="C28" s="11"/>
      <c r="D28" s="11"/>
      <c r="E28" s="11"/>
      <c r="F28" s="11"/>
      <c r="G28" s="11"/>
      <c r="H28" s="11"/>
    </row>
    <row r="29" spans="1:8" ht="12.75">
      <c r="A29" s="1" t="s">
        <v>34</v>
      </c>
      <c r="C29" s="11">
        <f aca="true" t="shared" si="5" ref="C29:H29">-5.113004+IF(C7&gt;60.99,0.119126,IF(C7&lt;58,0,0.058646))+1.719173*LOG10(C8+100)-0.00003*C7*C8-0.215528*LOG10(C7*C8)+0.0106*C6-IF(C11&lt;5,0,0.051843*IF(C14&gt;0,C14,C22))+IF(C11&lt;5,0.306321*LOG10(IF(C14&gt;0,C14,C22)),0.781026*LOG10(IF(C14&gt;0,C14,C22)))+1.335267*LOG10(C3)-0.00009*C3*C6</f>
        <v>1.1327383899759644</v>
      </c>
      <c r="D29" s="11">
        <f t="shared" si="5"/>
        <v>1.0392798293036294</v>
      </c>
      <c r="E29" s="11">
        <f t="shared" si="5"/>
        <v>1.0929543409751552</v>
      </c>
      <c r="F29" s="11">
        <f t="shared" si="5"/>
        <v>1.1327383899759644</v>
      </c>
      <c r="G29" s="11">
        <f t="shared" si="5"/>
        <v>1.162120382672466</v>
      </c>
      <c r="H29" s="11">
        <f t="shared" si="5"/>
        <v>1.1834200272539426</v>
      </c>
    </row>
    <row r="30" spans="1:8" ht="12.75">
      <c r="A30" s="1" t="s">
        <v>35</v>
      </c>
      <c r="C30" s="11">
        <f aca="true" t="shared" si="6" ref="C30:H30">-0.115848+0.973479*C29+0.019539*(C7-54)+0.004166*(C8+100)-0.359743*LOG10(C8+100)-0.000057*C7*C8-0.005493*C6-IF(C11&lt;5,0,0.105466)+0.314026*LOG10(C3)</f>
        <v>1.232946237315016</v>
      </c>
      <c r="D30" s="11">
        <f t="shared" si="6"/>
        <v>1.099667436763549</v>
      </c>
      <c r="E30" s="11">
        <f t="shared" si="6"/>
        <v>1.1747012425130445</v>
      </c>
      <c r="F30" s="11">
        <f t="shared" si="6"/>
        <v>1.232946237315016</v>
      </c>
      <c r="G30" s="11">
        <f t="shared" si="6"/>
        <v>1.2786187094517283</v>
      </c>
      <c r="H30" s="11">
        <f t="shared" si="6"/>
        <v>1.3145223914673383</v>
      </c>
    </row>
    <row r="31" spans="1:8" ht="12.75">
      <c r="A31" s="1" t="s">
        <v>36</v>
      </c>
      <c r="B31" s="2" t="s">
        <v>19</v>
      </c>
      <c r="C31" s="1">
        <f aca="true" t="shared" si="7" ref="C31:H32">10^C29</f>
        <v>13.574954730175431</v>
      </c>
      <c r="D31" s="1">
        <f t="shared" si="7"/>
        <v>10.946614631676967</v>
      </c>
      <c r="E31" s="1">
        <f t="shared" si="7"/>
        <v>12.386663539962678</v>
      </c>
      <c r="F31" s="1">
        <f t="shared" si="7"/>
        <v>13.574954730175431</v>
      </c>
      <c r="G31" s="1">
        <f t="shared" si="7"/>
        <v>14.525141861548091</v>
      </c>
      <c r="H31" s="1">
        <f t="shared" si="7"/>
        <v>15.255274521334494</v>
      </c>
    </row>
    <row r="32" spans="1:8" ht="12.75">
      <c r="A32" s="1" t="s">
        <v>37</v>
      </c>
      <c r="B32" s="2" t="s">
        <v>19</v>
      </c>
      <c r="C32" s="1">
        <f t="shared" si="7"/>
        <v>17.098036399981428</v>
      </c>
      <c r="D32" s="1">
        <f t="shared" si="7"/>
        <v>12.579617521864447</v>
      </c>
      <c r="E32" s="1">
        <f t="shared" si="7"/>
        <v>14.95206727785445</v>
      </c>
      <c r="F32" s="1">
        <f t="shared" si="7"/>
        <v>17.098036399981428</v>
      </c>
      <c r="G32" s="1">
        <f t="shared" si="7"/>
        <v>18.99409953235507</v>
      </c>
      <c r="H32" s="1">
        <f t="shared" si="7"/>
        <v>20.631100349299473</v>
      </c>
    </row>
    <row r="33" spans="1:8" ht="12.75">
      <c r="A33" s="1" t="s">
        <v>38</v>
      </c>
      <c r="B33" s="2" t="s">
        <v>19</v>
      </c>
      <c r="C33" s="1">
        <f aca="true" t="shared" si="8" ref="C33:H33">C32</f>
        <v>17.098036399981428</v>
      </c>
      <c r="D33" s="1">
        <f t="shared" si="8"/>
        <v>12.579617521864447</v>
      </c>
      <c r="E33" s="1">
        <f t="shared" si="8"/>
        <v>14.95206727785445</v>
      </c>
      <c r="F33" s="1">
        <f t="shared" si="8"/>
        <v>17.098036399981428</v>
      </c>
      <c r="G33" s="1">
        <f t="shared" si="8"/>
        <v>18.99409953235507</v>
      </c>
      <c r="H33" s="1">
        <f t="shared" si="8"/>
        <v>20.631100349299473</v>
      </c>
    </row>
    <row r="35" spans="1:8" ht="12.75">
      <c r="A35" s="1" t="s">
        <v>39</v>
      </c>
      <c r="C35" s="1">
        <f aca="true" t="shared" si="9" ref="C35:H35">0.83535+0.107194*C30-0.192093*(C32/C31)+1.314621*LOG10(C32/C31)+0.036374*LOG10(C8+100)-0.115994*LOG10(IF(C14&gt;0,C14,C22))</f>
        <v>0.8707662893351038</v>
      </c>
      <c r="D35" s="1">
        <f t="shared" si="9"/>
        <v>0.8253283975061148</v>
      </c>
      <c r="E35" s="1">
        <f t="shared" si="9"/>
        <v>0.8503227420668421</v>
      </c>
      <c r="F35" s="1">
        <f t="shared" si="9"/>
        <v>0.8707662893351038</v>
      </c>
      <c r="G35" s="1">
        <f t="shared" si="9"/>
        <v>0.8878300848618871</v>
      </c>
      <c r="H35" s="1">
        <f t="shared" si="9"/>
        <v>0.902286968391313</v>
      </c>
    </row>
    <row r="36" spans="1:8" ht="12.75">
      <c r="A36" s="1" t="s">
        <v>40</v>
      </c>
      <c r="B36" s="2" t="s">
        <v>15</v>
      </c>
      <c r="C36" s="12">
        <f aca="true" t="shared" si="10" ref="C36:H36">ROUNDUP(10^C35,0)</f>
        <v>8</v>
      </c>
      <c r="D36" s="12">
        <f t="shared" si="10"/>
        <v>7</v>
      </c>
      <c r="E36" s="12">
        <f t="shared" si="10"/>
        <v>8</v>
      </c>
      <c r="F36" s="12">
        <f t="shared" si="10"/>
        <v>8</v>
      </c>
      <c r="G36" s="12">
        <f t="shared" si="10"/>
        <v>8</v>
      </c>
      <c r="H36" s="12">
        <f t="shared" si="10"/>
        <v>8</v>
      </c>
    </row>
    <row r="37" spans="3:8" ht="12.75">
      <c r="C37" s="12"/>
      <c r="D37" s="12"/>
      <c r="E37" s="12"/>
      <c r="F37" s="12"/>
      <c r="G37" s="12"/>
      <c r="H37" s="12"/>
    </row>
    <row r="38" spans="1:8" ht="12.75" hidden="1">
      <c r="A38" s="1" t="s">
        <v>41</v>
      </c>
      <c r="B38" s="2" t="s">
        <v>21</v>
      </c>
      <c r="C38" s="13" t="e">
        <f aca="true" t="shared" si="11" ref="C38:H38">269.1401*C26^3-672.97*C26^2+576.755*C26+136.7479</f>
        <v>#DIV/0!</v>
      </c>
      <c r="D38" s="13" t="e">
        <f t="shared" si="11"/>
        <v>#DIV/0!</v>
      </c>
      <c r="E38" s="13" t="e">
        <f t="shared" si="11"/>
        <v>#DIV/0!</v>
      </c>
      <c r="F38" s="13" t="e">
        <f t="shared" si="11"/>
        <v>#DIV/0!</v>
      </c>
      <c r="G38" s="13" t="e">
        <f t="shared" si="11"/>
        <v>#DIV/0!</v>
      </c>
      <c r="H38" s="13" t="e">
        <f t="shared" si="11"/>
        <v>#DIV/0!</v>
      </c>
    </row>
    <row r="39" spans="1:8" ht="12.75" hidden="1">
      <c r="A39" s="1" t="s">
        <v>42</v>
      </c>
      <c r="B39" s="2" t="s">
        <v>21</v>
      </c>
      <c r="C39" s="14" t="e">
        <f aca="true" t="shared" si="12" ref="C39:H39">-72.887*C26^3-745.87*C26^2+682.9297*C26+136.1652</f>
        <v>#DIV/0!</v>
      </c>
      <c r="D39" s="14" t="e">
        <f t="shared" si="12"/>
        <v>#DIV/0!</v>
      </c>
      <c r="E39" s="14" t="e">
        <f t="shared" si="12"/>
        <v>#DIV/0!</v>
      </c>
      <c r="F39" s="14" t="e">
        <f t="shared" si="12"/>
        <v>#DIV/0!</v>
      </c>
      <c r="G39" s="14" t="e">
        <f t="shared" si="12"/>
        <v>#DIV/0!</v>
      </c>
      <c r="H39" s="14" t="e">
        <f t="shared" si="12"/>
        <v>#DIV/0!</v>
      </c>
    </row>
    <row r="40" spans="1:8" ht="12.75" hidden="1">
      <c r="A40" s="1" t="s">
        <v>43</v>
      </c>
      <c r="B40" s="2" t="s">
        <v>21</v>
      </c>
      <c r="C40" s="14" t="e">
        <f aca="true" t="shared" si="13" ref="C40:H40">198.6954*C26^3-355.1*C26^2+297.426*C26+176.4626</f>
        <v>#DIV/0!</v>
      </c>
      <c r="D40" s="14" t="e">
        <f t="shared" si="13"/>
        <v>#DIV/0!</v>
      </c>
      <c r="E40" s="14" t="e">
        <f t="shared" si="13"/>
        <v>#DIV/0!</v>
      </c>
      <c r="F40" s="14" t="e">
        <f t="shared" si="13"/>
        <v>#DIV/0!</v>
      </c>
      <c r="G40" s="14" t="e">
        <f t="shared" si="13"/>
        <v>#DIV/0!</v>
      </c>
      <c r="H40" s="14" t="e">
        <f t="shared" si="13"/>
        <v>#DIV/0!</v>
      </c>
    </row>
    <row r="41" spans="1:8" ht="12.75" hidden="1">
      <c r="A41" s="1" t="s">
        <v>44</v>
      </c>
      <c r="B41" s="2" t="s">
        <v>21</v>
      </c>
      <c r="C41" s="14" t="e">
        <f aca="true" t="shared" si="14" ref="C41:H41">278.9271*C26^3-476.38*C26^2+397.7279*C26+120.9448</f>
        <v>#DIV/0!</v>
      </c>
      <c r="D41" s="14" t="e">
        <f t="shared" si="14"/>
        <v>#DIV/0!</v>
      </c>
      <c r="E41" s="14" t="e">
        <f t="shared" si="14"/>
        <v>#DIV/0!</v>
      </c>
      <c r="F41" s="14" t="e">
        <f t="shared" si="14"/>
        <v>#DIV/0!</v>
      </c>
      <c r="G41" s="14" t="e">
        <f t="shared" si="14"/>
        <v>#DIV/0!</v>
      </c>
      <c r="H41" s="14" t="e">
        <f t="shared" si="14"/>
        <v>#DIV/0!</v>
      </c>
    </row>
    <row r="42" spans="1:8" ht="12.75" hidden="1">
      <c r="A42" s="1" t="s">
        <v>45</v>
      </c>
      <c r="B42" s="2" t="s">
        <v>21</v>
      </c>
      <c r="C42" s="14" t="e">
        <f aca="true" t="shared" si="15" ref="C42:H42">114.4062*C26^3-241.45*C26^2+204.5054*C26+180.5085</f>
        <v>#DIV/0!</v>
      </c>
      <c r="D42" s="14" t="e">
        <f t="shared" si="15"/>
        <v>#DIV/0!</v>
      </c>
      <c r="E42" s="14" t="e">
        <f t="shared" si="15"/>
        <v>#DIV/0!</v>
      </c>
      <c r="F42" s="14" t="e">
        <f t="shared" si="15"/>
        <v>#DIV/0!</v>
      </c>
      <c r="G42" s="14" t="e">
        <f t="shared" si="15"/>
        <v>#DIV/0!</v>
      </c>
      <c r="H42" s="14" t="e">
        <f t="shared" si="15"/>
        <v>#DIV/0!</v>
      </c>
    </row>
    <row r="43" spans="1:8" ht="12.75" hidden="1">
      <c r="A43" s="1" t="s">
        <v>46</v>
      </c>
      <c r="B43" s="2" t="s">
        <v>21</v>
      </c>
      <c r="C43" s="14" t="e">
        <f aca="true" t="shared" si="16" ref="C43:H43">138.8005*C26^3-179.06*C26^2+145.2389*C26+194.0042</f>
        <v>#DIV/0!</v>
      </c>
      <c r="D43" s="14" t="e">
        <f t="shared" si="16"/>
        <v>#DIV/0!</v>
      </c>
      <c r="E43" s="14" t="e">
        <f t="shared" si="16"/>
        <v>#DIV/0!</v>
      </c>
      <c r="F43" s="14" t="e">
        <f t="shared" si="16"/>
        <v>#DIV/0!</v>
      </c>
      <c r="G43" s="14" t="e">
        <f t="shared" si="16"/>
        <v>#DIV/0!</v>
      </c>
      <c r="H43" s="14" t="e">
        <f t="shared" si="16"/>
        <v>#DIV/0!</v>
      </c>
    </row>
    <row r="44" spans="3:8" ht="12.75" hidden="1">
      <c r="C44" s="14"/>
      <c r="D44" s="14"/>
      <c r="E44" s="14"/>
      <c r="F44" s="14"/>
      <c r="G44" s="14"/>
      <c r="H44" s="14"/>
    </row>
    <row r="45" spans="1:8" ht="12.75" hidden="1">
      <c r="A45" s="1" t="s">
        <v>47</v>
      </c>
      <c r="B45" s="2" t="s">
        <v>21</v>
      </c>
      <c r="C45" s="14" t="e">
        <f aca="true" t="shared" si="17" ref="C45:H45">269.1401*C27^3-672.97*C27^2+576.755*C27+136.7479</f>
        <v>#DIV/0!</v>
      </c>
      <c r="D45" s="14" t="e">
        <f t="shared" si="17"/>
        <v>#DIV/0!</v>
      </c>
      <c r="E45" s="14" t="e">
        <f t="shared" si="17"/>
        <v>#DIV/0!</v>
      </c>
      <c r="F45" s="14" t="e">
        <f t="shared" si="17"/>
        <v>#DIV/0!</v>
      </c>
      <c r="G45" s="14" t="e">
        <f t="shared" si="17"/>
        <v>#DIV/0!</v>
      </c>
      <c r="H45" s="14" t="e">
        <f t="shared" si="17"/>
        <v>#DIV/0!</v>
      </c>
    </row>
    <row r="46" spans="1:8" ht="12.75" hidden="1">
      <c r="A46" s="1" t="s">
        <v>48</v>
      </c>
      <c r="B46" s="2" t="s">
        <v>21</v>
      </c>
      <c r="C46" s="14" t="e">
        <f aca="true" t="shared" si="18" ref="C46:H46">-72.887*C27^3-745.87*C27^2+682.9297*C27+136.1652</f>
        <v>#DIV/0!</v>
      </c>
      <c r="D46" s="14" t="e">
        <f t="shared" si="18"/>
        <v>#DIV/0!</v>
      </c>
      <c r="E46" s="14" t="e">
        <f t="shared" si="18"/>
        <v>#DIV/0!</v>
      </c>
      <c r="F46" s="14" t="e">
        <f t="shared" si="18"/>
        <v>#DIV/0!</v>
      </c>
      <c r="G46" s="14" t="e">
        <f t="shared" si="18"/>
        <v>#DIV/0!</v>
      </c>
      <c r="H46" s="14" t="e">
        <f t="shared" si="18"/>
        <v>#DIV/0!</v>
      </c>
    </row>
    <row r="47" spans="1:8" ht="12.75" hidden="1">
      <c r="A47" s="1" t="s">
        <v>49</v>
      </c>
      <c r="B47" s="2" t="s">
        <v>21</v>
      </c>
      <c r="C47" s="14" t="e">
        <f aca="true" t="shared" si="19" ref="C47:H47">198.6954*C27^3-355.1*C27^2+297.426*C27+176.4626</f>
        <v>#DIV/0!</v>
      </c>
      <c r="D47" s="14" t="e">
        <f t="shared" si="19"/>
        <v>#DIV/0!</v>
      </c>
      <c r="E47" s="14" t="e">
        <f t="shared" si="19"/>
        <v>#DIV/0!</v>
      </c>
      <c r="F47" s="14" t="e">
        <f t="shared" si="19"/>
        <v>#DIV/0!</v>
      </c>
      <c r="G47" s="14" t="e">
        <f t="shared" si="19"/>
        <v>#DIV/0!</v>
      </c>
      <c r="H47" s="14" t="e">
        <f t="shared" si="19"/>
        <v>#DIV/0!</v>
      </c>
    </row>
    <row r="48" spans="1:8" ht="12.75" hidden="1">
      <c r="A48" s="1" t="s">
        <v>50</v>
      </c>
      <c r="B48" s="2" t="s">
        <v>21</v>
      </c>
      <c r="C48" s="14" t="e">
        <f aca="true" t="shared" si="20" ref="C48:H48">278.9271*C27^3-476.38*C27^2+397.7279*C27+120.9448</f>
        <v>#DIV/0!</v>
      </c>
      <c r="D48" s="14" t="e">
        <f t="shared" si="20"/>
        <v>#DIV/0!</v>
      </c>
      <c r="E48" s="14" t="e">
        <f t="shared" si="20"/>
        <v>#DIV/0!</v>
      </c>
      <c r="F48" s="14" t="e">
        <f t="shared" si="20"/>
        <v>#DIV/0!</v>
      </c>
      <c r="G48" s="14" t="e">
        <f t="shared" si="20"/>
        <v>#DIV/0!</v>
      </c>
      <c r="H48" s="14" t="e">
        <f t="shared" si="20"/>
        <v>#DIV/0!</v>
      </c>
    </row>
    <row r="49" spans="1:8" ht="12.75" hidden="1">
      <c r="A49" s="1" t="s">
        <v>51</v>
      </c>
      <c r="B49" s="2" t="s">
        <v>21</v>
      </c>
      <c r="C49" s="14" t="e">
        <f aca="true" t="shared" si="21" ref="C49:H49">114.4062*C27^3-241.45*C27^2+204.5054*C27+180.5085</f>
        <v>#DIV/0!</v>
      </c>
      <c r="D49" s="14" t="e">
        <f t="shared" si="21"/>
        <v>#DIV/0!</v>
      </c>
      <c r="E49" s="14" t="e">
        <f t="shared" si="21"/>
        <v>#DIV/0!</v>
      </c>
      <c r="F49" s="14" t="e">
        <f t="shared" si="21"/>
        <v>#DIV/0!</v>
      </c>
      <c r="G49" s="14" t="e">
        <f t="shared" si="21"/>
        <v>#DIV/0!</v>
      </c>
      <c r="H49" s="14" t="e">
        <f t="shared" si="21"/>
        <v>#DIV/0!</v>
      </c>
    </row>
    <row r="50" spans="1:8" ht="12.75" hidden="1">
      <c r="A50" s="1" t="s">
        <v>52</v>
      </c>
      <c r="B50" s="2" t="s">
        <v>21</v>
      </c>
      <c r="C50" s="14" t="e">
        <f aca="true" t="shared" si="22" ref="C50:H50">138.8005*C27^3-179.06*C27^2+145.2389*C27+194.0042</f>
        <v>#DIV/0!</v>
      </c>
      <c r="D50" s="14" t="e">
        <f t="shared" si="22"/>
        <v>#DIV/0!</v>
      </c>
      <c r="E50" s="14" t="e">
        <f t="shared" si="22"/>
        <v>#DIV/0!</v>
      </c>
      <c r="F50" s="14" t="e">
        <f t="shared" si="22"/>
        <v>#DIV/0!</v>
      </c>
      <c r="G50" s="14" t="e">
        <f t="shared" si="22"/>
        <v>#DIV/0!</v>
      </c>
      <c r="H50" s="14" t="e">
        <f t="shared" si="22"/>
        <v>#DIV/0!</v>
      </c>
    </row>
    <row r="51" spans="3:8" ht="12.75" hidden="1">
      <c r="C51" s="14"/>
      <c r="D51" s="14"/>
      <c r="E51" s="14"/>
      <c r="F51" s="14"/>
      <c r="G51" s="14"/>
      <c r="H51" s="14"/>
    </row>
    <row r="52" spans="1:8" ht="12.75" hidden="1">
      <c r="A52" s="1" t="s">
        <v>53</v>
      </c>
      <c r="B52" s="2" t="s">
        <v>21</v>
      </c>
      <c r="C52" s="14" t="e">
        <f aca="true" t="shared" si="23" ref="C52:H57">C45-C38</f>
        <v>#DIV/0!</v>
      </c>
      <c r="D52" s="14" t="e">
        <f t="shared" si="23"/>
        <v>#DIV/0!</v>
      </c>
      <c r="E52" s="14" t="e">
        <f t="shared" si="23"/>
        <v>#DIV/0!</v>
      </c>
      <c r="F52" s="14" t="e">
        <f t="shared" si="23"/>
        <v>#DIV/0!</v>
      </c>
      <c r="G52" s="14" t="e">
        <f t="shared" si="23"/>
        <v>#DIV/0!</v>
      </c>
      <c r="H52" s="14" t="e">
        <f t="shared" si="23"/>
        <v>#DIV/0!</v>
      </c>
    </row>
    <row r="53" spans="1:8" ht="12.75" hidden="1">
      <c r="A53" s="1" t="s">
        <v>54</v>
      </c>
      <c r="B53" s="2" t="s">
        <v>21</v>
      </c>
      <c r="C53" s="14" t="e">
        <f>C46-C39</f>
        <v>#DIV/0!</v>
      </c>
      <c r="D53" s="14" t="e">
        <f t="shared" si="23"/>
        <v>#DIV/0!</v>
      </c>
      <c r="E53" s="14" t="e">
        <f t="shared" si="23"/>
        <v>#DIV/0!</v>
      </c>
      <c r="F53" s="14" t="e">
        <f t="shared" si="23"/>
        <v>#DIV/0!</v>
      </c>
      <c r="G53" s="14" t="e">
        <f t="shared" si="23"/>
        <v>#DIV/0!</v>
      </c>
      <c r="H53" s="14" t="e">
        <f t="shared" si="23"/>
        <v>#DIV/0!</v>
      </c>
    </row>
    <row r="54" spans="1:8" ht="12.75" hidden="1">
      <c r="A54" s="1" t="s">
        <v>55</v>
      </c>
      <c r="B54" s="2" t="s">
        <v>21</v>
      </c>
      <c r="C54" s="14" t="e">
        <f t="shared" si="23"/>
        <v>#DIV/0!</v>
      </c>
      <c r="D54" s="14" t="e">
        <f t="shared" si="23"/>
        <v>#DIV/0!</v>
      </c>
      <c r="E54" s="14" t="e">
        <f t="shared" si="23"/>
        <v>#DIV/0!</v>
      </c>
      <c r="F54" s="14" t="e">
        <f t="shared" si="23"/>
        <v>#DIV/0!</v>
      </c>
      <c r="G54" s="14" t="e">
        <f t="shared" si="23"/>
        <v>#DIV/0!</v>
      </c>
      <c r="H54" s="14" t="e">
        <f t="shared" si="23"/>
        <v>#DIV/0!</v>
      </c>
    </row>
    <row r="55" spans="1:8" ht="12.75" hidden="1">
      <c r="A55" s="1" t="s">
        <v>56</v>
      </c>
      <c r="B55" s="2" t="s">
        <v>21</v>
      </c>
      <c r="C55" s="14" t="e">
        <f t="shared" si="23"/>
        <v>#DIV/0!</v>
      </c>
      <c r="D55" s="14" t="e">
        <f t="shared" si="23"/>
        <v>#DIV/0!</v>
      </c>
      <c r="E55" s="14" t="e">
        <f t="shared" si="23"/>
        <v>#DIV/0!</v>
      </c>
      <c r="F55" s="14" t="e">
        <f t="shared" si="23"/>
        <v>#DIV/0!</v>
      </c>
      <c r="G55" s="14" t="e">
        <f t="shared" si="23"/>
        <v>#DIV/0!</v>
      </c>
      <c r="H55" s="14" t="e">
        <f t="shared" si="23"/>
        <v>#DIV/0!</v>
      </c>
    </row>
    <row r="56" spans="1:8" ht="12.75" hidden="1">
      <c r="A56" s="1" t="s">
        <v>57</v>
      </c>
      <c r="B56" s="2" t="s">
        <v>21</v>
      </c>
      <c r="C56" s="14" t="e">
        <f t="shared" si="23"/>
        <v>#DIV/0!</v>
      </c>
      <c r="D56" s="14" t="e">
        <f t="shared" si="23"/>
        <v>#DIV/0!</v>
      </c>
      <c r="E56" s="14" t="e">
        <f t="shared" si="23"/>
        <v>#DIV/0!</v>
      </c>
      <c r="F56" s="14" t="e">
        <f t="shared" si="23"/>
        <v>#DIV/0!</v>
      </c>
      <c r="G56" s="14" t="e">
        <f t="shared" si="23"/>
        <v>#DIV/0!</v>
      </c>
      <c r="H56" s="14" t="e">
        <f t="shared" si="23"/>
        <v>#DIV/0!</v>
      </c>
    </row>
    <row r="57" spans="1:8" ht="12.75" hidden="1">
      <c r="A57" s="1" t="s">
        <v>58</v>
      </c>
      <c r="B57" s="2" t="s">
        <v>21</v>
      </c>
      <c r="C57" s="14" t="e">
        <f t="shared" si="23"/>
        <v>#DIV/0!</v>
      </c>
      <c r="D57" s="14" t="e">
        <f t="shared" si="23"/>
        <v>#DIV/0!</v>
      </c>
      <c r="E57" s="14" t="e">
        <f t="shared" si="23"/>
        <v>#DIV/0!</v>
      </c>
      <c r="F57" s="14" t="e">
        <f t="shared" si="23"/>
        <v>#DIV/0!</v>
      </c>
      <c r="G57" s="14" t="e">
        <f t="shared" si="23"/>
        <v>#DIV/0!</v>
      </c>
      <c r="H57" s="14" t="e">
        <f t="shared" si="23"/>
        <v>#DIV/0!</v>
      </c>
    </row>
    <row r="58" spans="3:8" ht="12.75" hidden="1">
      <c r="C58" s="12"/>
      <c r="D58" s="12"/>
      <c r="E58" s="12"/>
      <c r="F58" s="12"/>
      <c r="G58" s="12"/>
      <c r="H58" s="12"/>
    </row>
    <row r="59" spans="1:8" ht="12.75" hidden="1">
      <c r="A59" s="1" t="s">
        <v>59</v>
      </c>
      <c r="B59" s="2" t="s">
        <v>21</v>
      </c>
      <c r="C59" s="14" t="e">
        <f aca="true" t="shared" si="24" ref="C59:H64">IF(C52&gt;0,C52,0)</f>
        <v>#DIV/0!</v>
      </c>
      <c r="D59" s="14" t="e">
        <f t="shared" si="24"/>
        <v>#DIV/0!</v>
      </c>
      <c r="E59" s="14" t="e">
        <f t="shared" si="24"/>
        <v>#DIV/0!</v>
      </c>
      <c r="F59" s="14" t="e">
        <f t="shared" si="24"/>
        <v>#DIV/0!</v>
      </c>
      <c r="G59" s="14" t="e">
        <f t="shared" si="24"/>
        <v>#DIV/0!</v>
      </c>
      <c r="H59" s="14" t="e">
        <f t="shared" si="24"/>
        <v>#DIV/0!</v>
      </c>
    </row>
    <row r="60" spans="1:8" ht="12.75" hidden="1">
      <c r="A60" s="1" t="s">
        <v>60</v>
      </c>
      <c r="B60" s="2" t="s">
        <v>21</v>
      </c>
      <c r="C60" s="14" t="e">
        <f t="shared" si="24"/>
        <v>#DIV/0!</v>
      </c>
      <c r="D60" s="14" t="e">
        <f t="shared" si="24"/>
        <v>#DIV/0!</v>
      </c>
      <c r="E60" s="14" t="e">
        <f t="shared" si="24"/>
        <v>#DIV/0!</v>
      </c>
      <c r="F60" s="14" t="e">
        <f t="shared" si="24"/>
        <v>#DIV/0!</v>
      </c>
      <c r="G60" s="14" t="e">
        <f t="shared" si="24"/>
        <v>#DIV/0!</v>
      </c>
      <c r="H60" s="14" t="e">
        <f t="shared" si="24"/>
        <v>#DIV/0!</v>
      </c>
    </row>
    <row r="61" spans="1:8" ht="12.75" hidden="1">
      <c r="A61" s="1" t="s">
        <v>61</v>
      </c>
      <c r="B61" s="2" t="s">
        <v>21</v>
      </c>
      <c r="C61" s="14" t="e">
        <f t="shared" si="24"/>
        <v>#DIV/0!</v>
      </c>
      <c r="D61" s="14" t="e">
        <f t="shared" si="24"/>
        <v>#DIV/0!</v>
      </c>
      <c r="E61" s="14" t="e">
        <f t="shared" si="24"/>
        <v>#DIV/0!</v>
      </c>
      <c r="F61" s="14" t="e">
        <f t="shared" si="24"/>
        <v>#DIV/0!</v>
      </c>
      <c r="G61" s="14" t="e">
        <f t="shared" si="24"/>
        <v>#DIV/0!</v>
      </c>
      <c r="H61" s="14" t="e">
        <f t="shared" si="24"/>
        <v>#DIV/0!</v>
      </c>
    </row>
    <row r="62" spans="1:8" ht="12.75" hidden="1">
      <c r="A62" s="1" t="s">
        <v>62</v>
      </c>
      <c r="B62" s="2" t="s">
        <v>21</v>
      </c>
      <c r="C62" s="14" t="e">
        <f t="shared" si="24"/>
        <v>#DIV/0!</v>
      </c>
      <c r="D62" s="14" t="e">
        <f t="shared" si="24"/>
        <v>#DIV/0!</v>
      </c>
      <c r="E62" s="14" t="e">
        <f t="shared" si="24"/>
        <v>#DIV/0!</v>
      </c>
      <c r="F62" s="14" t="e">
        <f t="shared" si="24"/>
        <v>#DIV/0!</v>
      </c>
      <c r="G62" s="14" t="e">
        <f t="shared" si="24"/>
        <v>#DIV/0!</v>
      </c>
      <c r="H62" s="14" t="e">
        <f t="shared" si="24"/>
        <v>#DIV/0!</v>
      </c>
    </row>
    <row r="63" spans="1:8" ht="12.75" hidden="1">
      <c r="A63" s="1" t="s">
        <v>63</v>
      </c>
      <c r="B63" s="2" t="s">
        <v>21</v>
      </c>
      <c r="C63" s="14" t="e">
        <f t="shared" si="24"/>
        <v>#DIV/0!</v>
      </c>
      <c r="D63" s="14" t="e">
        <f t="shared" si="24"/>
        <v>#DIV/0!</v>
      </c>
      <c r="E63" s="14" t="e">
        <f t="shared" si="24"/>
        <v>#DIV/0!</v>
      </c>
      <c r="F63" s="14" t="e">
        <f t="shared" si="24"/>
        <v>#DIV/0!</v>
      </c>
      <c r="G63" s="14" t="e">
        <f t="shared" si="24"/>
        <v>#DIV/0!</v>
      </c>
      <c r="H63" s="14" t="e">
        <f t="shared" si="24"/>
        <v>#DIV/0!</v>
      </c>
    </row>
    <row r="64" spans="1:8" ht="12.75" hidden="1">
      <c r="A64" s="1" t="s">
        <v>64</v>
      </c>
      <c r="B64" s="2" t="s">
        <v>21</v>
      </c>
      <c r="C64" s="14" t="e">
        <f t="shared" si="24"/>
        <v>#DIV/0!</v>
      </c>
      <c r="D64" s="14" t="e">
        <f t="shared" si="24"/>
        <v>#DIV/0!</v>
      </c>
      <c r="E64" s="14" t="e">
        <f t="shared" si="24"/>
        <v>#DIV/0!</v>
      </c>
      <c r="F64" s="14" t="e">
        <f t="shared" si="24"/>
        <v>#DIV/0!</v>
      </c>
      <c r="G64" s="14" t="e">
        <f t="shared" si="24"/>
        <v>#DIV/0!</v>
      </c>
      <c r="H64" s="14" t="e">
        <f t="shared" si="24"/>
        <v>#DIV/0!</v>
      </c>
    </row>
    <row r="65" spans="3:8" ht="12.75">
      <c r="C65" s="12"/>
      <c r="D65" s="12"/>
      <c r="E65" s="12"/>
      <c r="F65" s="12"/>
      <c r="G65" s="12"/>
      <c r="H65" s="12"/>
    </row>
    <row r="66" spans="1:8" ht="12.75">
      <c r="A66" s="1" t="s">
        <v>65</v>
      </c>
      <c r="B66" s="2" t="s">
        <v>21</v>
      </c>
      <c r="C66" s="15" t="e">
        <f aca="true" t="shared" si="25" ref="C66:H66">IF(C11&lt;5,C69,C67)</f>
        <v>#DIV/0!</v>
      </c>
      <c r="D66" s="15" t="e">
        <f t="shared" si="25"/>
        <v>#DIV/0!</v>
      </c>
      <c r="E66" s="15" t="e">
        <f>IF(E11&lt;5,E69,E67)</f>
        <v>#DIV/0!</v>
      </c>
      <c r="F66" s="15" t="e">
        <f t="shared" si="25"/>
        <v>#DIV/0!</v>
      </c>
      <c r="G66" s="15" t="e">
        <f t="shared" si="25"/>
        <v>#DIV/0!</v>
      </c>
      <c r="H66" s="15" t="e">
        <f t="shared" si="25"/>
        <v>#DIV/0!</v>
      </c>
    </row>
    <row r="67" spans="1:8" ht="12.75">
      <c r="A67" s="1" t="s">
        <v>66</v>
      </c>
      <c r="C67" s="15" t="e">
        <f aca="true" t="shared" si="26" ref="C67:H67">IF(C7&lt;59,C61,C68)</f>
        <v>#DIV/0!</v>
      </c>
      <c r="D67" s="15" t="e">
        <f>IF(E7&lt;59,D61,D68)</f>
        <v>#DIV/0!</v>
      </c>
      <c r="E67" s="15" t="e">
        <f>IF(F7&lt;59,E61,E68)</f>
        <v>#DIV/0!</v>
      </c>
      <c r="F67" s="15" t="e">
        <f t="shared" si="26"/>
        <v>#DIV/0!</v>
      </c>
      <c r="G67" s="15" t="e">
        <f t="shared" si="26"/>
        <v>#DIV/0!</v>
      </c>
      <c r="H67" s="15" t="e">
        <f t="shared" si="26"/>
        <v>#DIV/0!</v>
      </c>
    </row>
    <row r="68" spans="1:8" ht="12.75">
      <c r="A68" s="1" t="s">
        <v>66</v>
      </c>
      <c r="C68" s="15" t="e">
        <f aca="true" t="shared" si="27" ref="C68:H68">IF(C7&gt;61,C59,C60)</f>
        <v>#DIV/0!</v>
      </c>
      <c r="D68" s="15" t="e">
        <f>IF(E7&gt;61,D59,D60)</f>
        <v>#DIV/0!</v>
      </c>
      <c r="E68" s="15" t="e">
        <f>IF(F7&gt;61,E59,E60)</f>
        <v>#DIV/0!</v>
      </c>
      <c r="F68" s="15" t="e">
        <f t="shared" si="27"/>
        <v>#DIV/0!</v>
      </c>
      <c r="G68" s="15" t="e">
        <f t="shared" si="27"/>
        <v>#DIV/0!</v>
      </c>
      <c r="H68" s="15" t="e">
        <f t="shared" si="27"/>
        <v>#DIV/0!</v>
      </c>
    </row>
    <row r="69" spans="1:8" ht="12.75">
      <c r="A69" s="1" t="s">
        <v>66</v>
      </c>
      <c r="C69" s="15" t="e">
        <f aca="true" t="shared" si="28" ref="C69:H69">IF(C7&lt;59,C64,C70)</f>
        <v>#DIV/0!</v>
      </c>
      <c r="D69" s="15" t="e">
        <f>IF(E7&lt;59,D64,D70)</f>
        <v>#DIV/0!</v>
      </c>
      <c r="E69" s="15" t="e">
        <f>IF(F7&lt;59,E64,E70)</f>
        <v>#DIV/0!</v>
      </c>
      <c r="F69" s="15" t="e">
        <f t="shared" si="28"/>
        <v>#DIV/0!</v>
      </c>
      <c r="G69" s="15" t="e">
        <f t="shared" si="28"/>
        <v>#DIV/0!</v>
      </c>
      <c r="H69" s="15" t="e">
        <f t="shared" si="28"/>
        <v>#DIV/0!</v>
      </c>
    </row>
    <row r="70" spans="1:8" ht="12.75">
      <c r="A70" s="1" t="s">
        <v>66</v>
      </c>
      <c r="C70" s="15" t="e">
        <f aca="true" t="shared" si="29" ref="C70:H70">IF(C7&gt;61,C62,C63)</f>
        <v>#DIV/0!</v>
      </c>
      <c r="D70" s="15" t="e">
        <f>IF(E7&gt;61,D62,D63)</f>
        <v>#DIV/0!</v>
      </c>
      <c r="E70" s="15" t="e">
        <f>IF(F7&gt;61,E62,E63)</f>
        <v>#DIV/0!</v>
      </c>
      <c r="F70" s="15" t="e">
        <f t="shared" si="29"/>
        <v>#DIV/0!</v>
      </c>
      <c r="G70" s="15" t="e">
        <f t="shared" si="29"/>
        <v>#DIV/0!</v>
      </c>
      <c r="H70" s="15" t="e">
        <f t="shared" si="29"/>
        <v>#DIV/0!</v>
      </c>
    </row>
    <row r="71" spans="3:8" ht="12.75">
      <c r="C71" s="15"/>
      <c r="D71" s="12"/>
      <c r="E71" s="12"/>
      <c r="F71" s="12"/>
      <c r="G71" s="15"/>
      <c r="H71" s="15"/>
    </row>
    <row r="72" spans="1:8" ht="12.75">
      <c r="A72" s="1" t="s">
        <v>67</v>
      </c>
      <c r="B72" s="2" t="s">
        <v>68</v>
      </c>
      <c r="C72" s="7">
        <f>C33*C13</f>
        <v>9403.920019989786</v>
      </c>
      <c r="D72" s="7">
        <f>D33*IF(D13&gt;0,D13,D18)</f>
        <v>6918.789637025446</v>
      </c>
      <c r="E72" s="7">
        <f>E33*IF(E13&gt;0,E13,E18)</f>
        <v>8223.637002819947</v>
      </c>
      <c r="F72" s="7">
        <f>F33*IF(F13&gt;0,F13,F18)</f>
        <v>9403.920019989786</v>
      </c>
      <c r="G72" s="7">
        <f>G33*IF(G13&gt;0,G13,G18)</f>
        <v>10446.754742795289</v>
      </c>
      <c r="H72" s="7">
        <f>H33*IF(H13&gt;0,H13,H18)</f>
        <v>11347.10519211471</v>
      </c>
    </row>
    <row r="73" spans="1:8" ht="12.75">
      <c r="A73" s="1" t="s">
        <v>69</v>
      </c>
      <c r="B73" s="2" t="s">
        <v>68</v>
      </c>
      <c r="C73" s="12" t="e">
        <f aca="true" t="shared" si="30" ref="C73:H73">C66*(C12+C23*C36+C33)</f>
        <v>#DIV/0!</v>
      </c>
      <c r="D73" s="12" t="e">
        <f t="shared" si="30"/>
        <v>#DIV/0!</v>
      </c>
      <c r="E73" s="12" t="e">
        <f t="shared" si="30"/>
        <v>#DIV/0!</v>
      </c>
      <c r="F73" s="12" t="e">
        <f t="shared" si="30"/>
        <v>#DIV/0!</v>
      </c>
      <c r="G73" s="12" t="e">
        <f t="shared" si="30"/>
        <v>#DIV/0!</v>
      </c>
      <c r="H73" s="12" t="e">
        <f t="shared" si="30"/>
        <v>#DIV/0!</v>
      </c>
    </row>
    <row r="74" spans="1:8" ht="12.75">
      <c r="A74" s="1" t="s">
        <v>110</v>
      </c>
      <c r="B74" s="2" t="s">
        <v>68</v>
      </c>
      <c r="C74" s="12">
        <f aca="true" t="shared" si="31" ref="C74:H74">+C72*0.5</f>
        <v>4701.960009994893</v>
      </c>
      <c r="D74" s="12">
        <f t="shared" si="31"/>
        <v>3459.394818512723</v>
      </c>
      <c r="E74" s="12">
        <f t="shared" si="31"/>
        <v>4111.818501409974</v>
      </c>
      <c r="F74" s="12">
        <f t="shared" si="31"/>
        <v>4701.960009994893</v>
      </c>
      <c r="G74" s="12">
        <f t="shared" si="31"/>
        <v>5223.377371397644</v>
      </c>
      <c r="H74" s="12">
        <f t="shared" si="31"/>
        <v>5673.552596057355</v>
      </c>
    </row>
    <row r="75" spans="1:15" ht="13.5">
      <c r="A75" s="1" t="s">
        <v>70</v>
      </c>
      <c r="B75" s="2" t="s">
        <v>68</v>
      </c>
      <c r="C75" s="12" t="e">
        <f aca="true" t="shared" si="32" ref="C75:H75">C72+C73</f>
        <v>#DIV/0!</v>
      </c>
      <c r="D75" s="12" t="e">
        <f t="shared" si="32"/>
        <v>#DIV/0!</v>
      </c>
      <c r="E75" s="12" t="e">
        <f t="shared" si="32"/>
        <v>#DIV/0!</v>
      </c>
      <c r="F75" s="12" t="e">
        <f t="shared" si="32"/>
        <v>#DIV/0!</v>
      </c>
      <c r="G75" s="12" t="e">
        <f t="shared" si="32"/>
        <v>#DIV/0!</v>
      </c>
      <c r="H75" s="12" t="e">
        <f t="shared" si="32"/>
        <v>#DIV/0!</v>
      </c>
      <c r="I75" s="6"/>
      <c r="J75" s="7"/>
      <c r="K75" s="7"/>
      <c r="L75" s="7"/>
      <c r="M75" s="7"/>
      <c r="N75" s="7"/>
      <c r="O75" s="7"/>
    </row>
    <row r="76" spans="1:15" ht="13.5">
      <c r="A76" s="1" t="s">
        <v>111</v>
      </c>
      <c r="B76" s="2" t="s">
        <v>68</v>
      </c>
      <c r="C76" s="12">
        <f aca="true" t="shared" si="33" ref="C76:H76">C72+C74</f>
        <v>14105.880029984679</v>
      </c>
      <c r="D76" s="12">
        <f t="shared" si="33"/>
        <v>10378.184455538169</v>
      </c>
      <c r="E76" s="12">
        <f t="shared" si="33"/>
        <v>12335.455504229922</v>
      </c>
      <c r="F76" s="12">
        <f t="shared" si="33"/>
        <v>14105.880029984679</v>
      </c>
      <c r="G76" s="12">
        <f t="shared" si="33"/>
        <v>15670.132114192933</v>
      </c>
      <c r="H76" s="12">
        <f t="shared" si="33"/>
        <v>17020.657788172066</v>
      </c>
      <c r="I76" s="6"/>
      <c r="J76" s="7"/>
      <c r="K76" s="7"/>
      <c r="L76" s="7"/>
      <c r="M76" s="7"/>
      <c r="N76" s="7"/>
      <c r="O76" s="7"/>
    </row>
    <row r="77" spans="9:15" ht="13.5">
      <c r="I77" s="6"/>
      <c r="J77" s="7"/>
      <c r="K77" s="7"/>
      <c r="L77" s="7"/>
      <c r="M77" s="7"/>
      <c r="N77" s="7"/>
      <c r="O77" s="7"/>
    </row>
    <row r="78" spans="1:15" ht="13.5">
      <c r="A78" s="1" t="s">
        <v>71</v>
      </c>
      <c r="B78" s="2" t="s">
        <v>72</v>
      </c>
      <c r="C78" s="1">
        <f>'Gödkalk 24'!H29</f>
        <v>90</v>
      </c>
      <c r="D78" s="1">
        <f>C78</f>
        <v>90</v>
      </c>
      <c r="E78" s="1">
        <f>D78</f>
        <v>90</v>
      </c>
      <c r="F78" s="1">
        <f>E78</f>
        <v>90</v>
      </c>
      <c r="G78" s="1">
        <f>F78</f>
        <v>90</v>
      </c>
      <c r="H78" s="1">
        <f>G78</f>
        <v>90</v>
      </c>
      <c r="I78" s="6"/>
      <c r="J78" s="7"/>
      <c r="K78" s="7"/>
      <c r="L78" s="7"/>
      <c r="M78" s="7"/>
      <c r="N78" s="7"/>
      <c r="O78" s="7"/>
    </row>
    <row r="79" spans="9:15" ht="13.5">
      <c r="I79" s="6"/>
      <c r="J79" s="7"/>
      <c r="K79" s="7"/>
      <c r="L79" s="7"/>
      <c r="M79" s="7"/>
      <c r="N79" s="7"/>
      <c r="O79" s="7"/>
    </row>
    <row r="80" spans="9:15" ht="13.5">
      <c r="I80" s="6"/>
      <c r="J80" s="15"/>
      <c r="K80" s="15"/>
      <c r="L80" s="15"/>
      <c r="M80" s="15"/>
      <c r="N80" s="15"/>
      <c r="O80" s="15"/>
    </row>
    <row r="81" spans="1:15" ht="15.75">
      <c r="A81" s="1" t="s">
        <v>112</v>
      </c>
      <c r="B81" s="2" t="s">
        <v>73</v>
      </c>
      <c r="C81" s="16">
        <f aca="true" t="shared" si="34" ref="C81:H81">100*(10^(LOG10(C76/C86)/C36)-1)</f>
        <v>16.273939554895776</v>
      </c>
      <c r="D81" s="16">
        <f t="shared" si="34"/>
        <v>22.38563080349849</v>
      </c>
      <c r="E81" s="16">
        <f t="shared" si="34"/>
        <v>19.419299446981796</v>
      </c>
      <c r="F81" s="16">
        <f t="shared" si="34"/>
        <v>19.896464284562043</v>
      </c>
      <c r="G81" s="16">
        <f t="shared" si="34"/>
        <v>19.597121565379496</v>
      </c>
      <c r="H81" s="16">
        <f t="shared" si="34"/>
        <v>19.17100519489643</v>
      </c>
      <c r="I81" s="6"/>
      <c r="J81" s="15"/>
      <c r="K81" s="15"/>
      <c r="L81" s="15"/>
      <c r="M81" s="15"/>
      <c r="N81" s="15"/>
      <c r="O81" s="15"/>
    </row>
    <row r="82" spans="1:15" ht="15.75">
      <c r="A82" s="1" t="s">
        <v>113</v>
      </c>
      <c r="B82" s="2" t="s">
        <v>73</v>
      </c>
      <c r="C82" s="16">
        <f aca="true" t="shared" si="35" ref="C82:H82">100*(10^(LOG10(C76/C86)/(IF((C78-C10)&gt;0,(C78-C10),C36)))-1)</f>
        <v>12.819951805897167</v>
      </c>
      <c r="D82" s="16">
        <f t="shared" si="35"/>
        <v>15.189077828424624</v>
      </c>
      <c r="E82" s="16">
        <f t="shared" si="35"/>
        <v>15.25495760447313</v>
      </c>
      <c r="F82" s="16">
        <f t="shared" si="35"/>
        <v>15.62323089882478</v>
      </c>
      <c r="G82" s="16">
        <f t="shared" si="35"/>
        <v>15.39223411387538</v>
      </c>
      <c r="H82" s="16">
        <f t="shared" si="35"/>
        <v>15.06320904386862</v>
      </c>
      <c r="I82" s="6"/>
      <c r="J82" s="15"/>
      <c r="K82" s="15"/>
      <c r="L82" s="15"/>
      <c r="M82" s="15"/>
      <c r="N82" s="15"/>
      <c r="O82" s="15"/>
    </row>
    <row r="83" spans="3:15" ht="13.5">
      <c r="C83" s="9"/>
      <c r="D83" s="9"/>
      <c r="E83" s="9"/>
      <c r="F83" s="9"/>
      <c r="G83" s="9"/>
      <c r="H83" s="9"/>
      <c r="I83" s="6"/>
      <c r="J83" s="15"/>
      <c r="K83" s="15"/>
      <c r="L83" s="15"/>
      <c r="M83" s="15"/>
      <c r="N83" s="15"/>
      <c r="O83" s="15"/>
    </row>
    <row r="84" spans="9:15" ht="13.5">
      <c r="I84" s="6"/>
      <c r="J84" s="15"/>
      <c r="K84" s="15"/>
      <c r="L84" s="15"/>
      <c r="M84" s="15"/>
      <c r="N84" s="15"/>
      <c r="O84" s="15"/>
    </row>
    <row r="85" spans="1:15" ht="13.5">
      <c r="A85" s="1" t="s">
        <v>74</v>
      </c>
      <c r="B85" s="2" t="s">
        <v>68</v>
      </c>
      <c r="C85" s="12">
        <f>'Gödkalk 24'!H40</f>
        <v>0</v>
      </c>
      <c r="D85" s="12">
        <f>$C$85*D3/$C$3</f>
        <v>0</v>
      </c>
      <c r="E85" s="12">
        <f>$C$85*E3/$C$3</f>
        <v>0</v>
      </c>
      <c r="F85" s="12">
        <f>$C$85*F3/$C$3</f>
        <v>0</v>
      </c>
      <c r="G85" s="12">
        <f>$C$85*G3/$C$3</f>
        <v>0</v>
      </c>
      <c r="H85" s="12">
        <f>$C$85*H3/$C$3</f>
        <v>0</v>
      </c>
      <c r="I85" s="6"/>
      <c r="J85" s="15"/>
      <c r="K85" s="15"/>
      <c r="L85" s="15"/>
      <c r="M85" s="15"/>
      <c r="N85" s="15"/>
      <c r="O85" s="15"/>
    </row>
    <row r="86" spans="1:15" ht="13.5">
      <c r="A86" s="1" t="s">
        <v>75</v>
      </c>
      <c r="B86" s="2" t="s">
        <v>68</v>
      </c>
      <c r="C86" s="12">
        <f>C3/270*((IF(C99&lt;4,C89,IF(C99&lt;6,C90,IF(C99&lt;13,C91,IF(C99&lt;35,C92,IF(C99&gt;34,C93)))))))</f>
        <v>4222.222222222223</v>
      </c>
      <c r="D86" s="12">
        <f aca="true" t="shared" si="36" ref="D86:H86">D3/272*((IF(D99&lt;6,D89,IF(D99&lt;13,D91,IF(D99&lt;34,D92,IF(D99&lt;71,D93,D94))))))</f>
        <v>2523.529411764706</v>
      </c>
      <c r="E86" s="12">
        <f t="shared" si="36"/>
        <v>2982.3529411764707</v>
      </c>
      <c r="F86" s="12">
        <f t="shared" si="36"/>
        <v>3303.308823529412</v>
      </c>
      <c r="G86" s="12">
        <f t="shared" si="36"/>
        <v>3743.75</v>
      </c>
      <c r="H86" s="12">
        <f t="shared" si="36"/>
        <v>4184.191176470588</v>
      </c>
      <c r="I86" s="6"/>
      <c r="J86" s="15"/>
      <c r="K86" s="15"/>
      <c r="L86" s="15"/>
      <c r="M86" s="15"/>
      <c r="N86" s="15"/>
      <c r="O86" s="15"/>
    </row>
    <row r="87" spans="9:15" ht="13.5">
      <c r="I87" s="6"/>
      <c r="J87" s="15"/>
      <c r="K87" s="15"/>
      <c r="L87" s="15"/>
      <c r="M87" s="15"/>
      <c r="N87" s="15"/>
      <c r="O87" s="15"/>
    </row>
    <row r="88" spans="1:15" ht="12.75">
      <c r="A88" s="1" t="s">
        <v>117</v>
      </c>
      <c r="C88" s="17" t="s">
        <v>119</v>
      </c>
      <c r="I88" s="12"/>
      <c r="J88" s="15"/>
      <c r="K88" s="15"/>
      <c r="L88" s="15"/>
      <c r="M88" s="15"/>
      <c r="N88" s="15"/>
      <c r="O88" s="15"/>
    </row>
    <row r="89" spans="1:15" ht="15">
      <c r="A89" s="1" t="s">
        <v>156</v>
      </c>
      <c r="B89" s="1"/>
      <c r="C89" s="18">
        <v>8300</v>
      </c>
      <c r="D89" s="18">
        <v>6240</v>
      </c>
      <c r="E89" s="18">
        <v>6240</v>
      </c>
      <c r="F89" s="18">
        <v>6240</v>
      </c>
      <c r="G89" s="18">
        <v>6240</v>
      </c>
      <c r="H89" s="18">
        <v>6240</v>
      </c>
      <c r="I89" s="12"/>
      <c r="J89" s="15"/>
      <c r="K89" s="15"/>
      <c r="L89" s="15"/>
      <c r="M89" s="15"/>
      <c r="N89" s="15"/>
      <c r="O89" s="15"/>
    </row>
    <row r="90" spans="1:15" ht="15">
      <c r="A90" s="1" t="s">
        <v>157</v>
      </c>
      <c r="B90" s="1"/>
      <c r="C90" s="18">
        <v>8300</v>
      </c>
      <c r="D90" s="18"/>
      <c r="E90" s="18"/>
      <c r="F90" s="18"/>
      <c r="G90" s="18"/>
      <c r="H90" s="18"/>
      <c r="I90" s="12"/>
      <c r="J90" s="15"/>
      <c r="K90" s="15"/>
      <c r="L90" s="15"/>
      <c r="M90" s="15"/>
      <c r="N90" s="15"/>
      <c r="O90" s="15"/>
    </row>
    <row r="91" spans="1:15" ht="15">
      <c r="A91" s="1" t="s">
        <v>76</v>
      </c>
      <c r="C91" s="18">
        <v>7600</v>
      </c>
      <c r="D91" s="18">
        <v>5990</v>
      </c>
      <c r="E91" s="18">
        <v>5990</v>
      </c>
      <c r="F91" s="18">
        <v>5990</v>
      </c>
      <c r="G91" s="18">
        <v>5990</v>
      </c>
      <c r="H91" s="18">
        <v>5990</v>
      </c>
      <c r="I91" s="12"/>
      <c r="J91" s="15"/>
      <c r="K91" s="15"/>
      <c r="L91" s="15"/>
      <c r="M91" s="15"/>
      <c r="N91" s="15"/>
      <c r="O91" s="15"/>
    </row>
    <row r="92" spans="1:15" ht="15">
      <c r="A92" s="1" t="s">
        <v>159</v>
      </c>
      <c r="C92" s="18">
        <v>7200</v>
      </c>
      <c r="D92" s="18">
        <v>5790</v>
      </c>
      <c r="E92" s="18">
        <v>5790</v>
      </c>
      <c r="F92" s="18">
        <v>5790</v>
      </c>
      <c r="G92" s="18">
        <v>5790</v>
      </c>
      <c r="H92" s="18">
        <v>5790</v>
      </c>
      <c r="I92" s="12"/>
      <c r="J92" s="15"/>
      <c r="K92" s="15"/>
      <c r="L92" s="15"/>
      <c r="M92" s="15"/>
      <c r="N92" s="15"/>
      <c r="O92" s="15"/>
    </row>
    <row r="93" spans="1:15" ht="15.75">
      <c r="A93" s="1" t="s">
        <v>158</v>
      </c>
      <c r="C93" s="18">
        <v>7200</v>
      </c>
      <c r="D93" s="18">
        <v>5570</v>
      </c>
      <c r="E93" s="18">
        <v>5570</v>
      </c>
      <c r="F93" s="18">
        <v>5570</v>
      </c>
      <c r="G93" s="18">
        <v>5570</v>
      </c>
      <c r="H93" s="18">
        <v>5570</v>
      </c>
      <c r="I93" s="6"/>
      <c r="J93" s="15"/>
      <c r="K93" s="15"/>
      <c r="L93" s="15"/>
      <c r="M93" s="15"/>
      <c r="N93" s="15"/>
      <c r="O93" s="15"/>
    </row>
    <row r="94" spans="1:15" ht="15.75">
      <c r="A94" s="1" t="s">
        <v>77</v>
      </c>
      <c r="C94" s="18">
        <v>5380</v>
      </c>
      <c r="D94" s="18">
        <v>5360</v>
      </c>
      <c r="E94" s="18">
        <v>5360</v>
      </c>
      <c r="F94" s="18">
        <v>5360</v>
      </c>
      <c r="G94" s="18">
        <v>5360</v>
      </c>
      <c r="H94" s="18">
        <v>5360</v>
      </c>
      <c r="I94" s="6"/>
      <c r="J94" s="15"/>
      <c r="K94" s="15"/>
      <c r="L94" s="15"/>
      <c r="M94" s="15"/>
      <c r="N94" s="15"/>
      <c r="O94" s="15"/>
    </row>
    <row r="95" spans="1:15" ht="15.75">
      <c r="A95" s="19"/>
      <c r="C95" s="18"/>
      <c r="D95" s="18"/>
      <c r="E95" s="18"/>
      <c r="F95" s="18"/>
      <c r="G95" s="18"/>
      <c r="H95" s="18"/>
      <c r="I95" s="6"/>
      <c r="J95" s="15"/>
      <c r="K95" s="15"/>
      <c r="L95" s="15"/>
      <c r="M95" s="15"/>
      <c r="N95" s="15"/>
      <c r="O95" s="15"/>
    </row>
    <row r="96" spans="1:15" ht="15.75">
      <c r="A96" s="19"/>
      <c r="C96" s="18"/>
      <c r="D96" s="18"/>
      <c r="E96" s="18"/>
      <c r="F96" s="18"/>
      <c r="G96" s="18"/>
      <c r="H96" s="18"/>
      <c r="I96" s="6"/>
      <c r="J96" s="15"/>
      <c r="K96" s="15"/>
      <c r="L96" s="15"/>
      <c r="M96" s="15"/>
      <c r="N96" s="15"/>
      <c r="O96" s="15"/>
    </row>
    <row r="97" spans="1:15" ht="15.75">
      <c r="A97" s="19" t="s">
        <v>78</v>
      </c>
      <c r="B97" s="2" t="s">
        <v>79</v>
      </c>
      <c r="C97" s="18">
        <v>0</v>
      </c>
      <c r="D97" s="18">
        <v>490</v>
      </c>
      <c r="E97" s="18">
        <v>490</v>
      </c>
      <c r="F97" s="18">
        <v>490</v>
      </c>
      <c r="G97" s="18">
        <v>490</v>
      </c>
      <c r="H97" s="18">
        <v>490</v>
      </c>
      <c r="I97" s="6"/>
      <c r="J97" s="15"/>
      <c r="K97" s="15"/>
      <c r="L97" s="15"/>
      <c r="M97" s="15"/>
      <c r="N97" s="15"/>
      <c r="O97" s="15"/>
    </row>
    <row r="98" spans="1:15" ht="15.75">
      <c r="A98" s="19"/>
      <c r="I98" s="6"/>
      <c r="J98" s="15"/>
      <c r="K98" s="15"/>
      <c r="L98" s="15"/>
      <c r="M98" s="15"/>
      <c r="N98" s="15"/>
      <c r="O98" s="15"/>
    </row>
    <row r="99" spans="1:15" ht="15.75">
      <c r="A99" s="19" t="s">
        <v>80</v>
      </c>
      <c r="C99" s="1">
        <f>C3/270*C5</f>
        <v>6.111111111111112</v>
      </c>
      <c r="D99" s="1">
        <f aca="true" t="shared" si="37" ref="D99:H99">D3/272*D5</f>
        <v>4.448529411764706</v>
      </c>
      <c r="E99" s="1">
        <f t="shared" si="37"/>
        <v>5.257352941176471</v>
      </c>
      <c r="F99" s="1">
        <f t="shared" si="37"/>
        <v>6.0661764705882355</v>
      </c>
      <c r="G99" s="1">
        <f t="shared" si="37"/>
        <v>6.875</v>
      </c>
      <c r="H99" s="1">
        <f t="shared" si="37"/>
        <v>7.6838235294117645</v>
      </c>
      <c r="I99" s="6"/>
      <c r="J99" s="15"/>
      <c r="K99" s="15"/>
      <c r="L99" s="15"/>
      <c r="M99" s="15"/>
      <c r="N99" s="15"/>
      <c r="O99" s="15"/>
    </row>
    <row r="100" spans="1:15" ht="15.75">
      <c r="A100" s="19"/>
      <c r="I100" s="6"/>
      <c r="J100" s="15"/>
      <c r="K100" s="15"/>
      <c r="L100" s="15"/>
      <c r="M100" s="15"/>
      <c r="N100" s="15"/>
      <c r="O100" s="15"/>
    </row>
    <row r="101" spans="1:15" ht="15.75">
      <c r="A101" s="1" t="s">
        <v>74</v>
      </c>
      <c r="B101" s="2" t="s">
        <v>68</v>
      </c>
      <c r="C101" s="20">
        <f>IF('Gödkalk 24'!G38&gt;" ",C86,C85)</f>
        <v>0</v>
      </c>
      <c r="D101" s="21">
        <f>IF('Gödkalk 24'!G38&gt;" ",D86,D85)</f>
        <v>0</v>
      </c>
      <c r="E101" s="21">
        <f>IF('Gödkalk 24'!G38&gt;" ",E86,E85)</f>
        <v>0</v>
      </c>
      <c r="F101" s="21">
        <f>IF('Gödkalk 24'!G38&gt;" ",F86,F85)</f>
        <v>0</v>
      </c>
      <c r="G101" s="21">
        <f>IF('Gödkalk 24'!G38&gt;" ",G86,G85)</f>
        <v>0</v>
      </c>
      <c r="H101" s="22">
        <f>IF('Gödkalk 24'!G38&gt;" ",H86,H85)</f>
        <v>0</v>
      </c>
      <c r="I101" s="6"/>
      <c r="J101" s="15"/>
      <c r="K101" s="15"/>
      <c r="L101" s="15"/>
      <c r="M101" s="15"/>
      <c r="N101" s="15"/>
      <c r="O101" s="15"/>
    </row>
    <row r="102" spans="1:8" ht="15">
      <c r="A102" s="1" t="s">
        <v>67</v>
      </c>
      <c r="B102" s="2" t="s">
        <v>68</v>
      </c>
      <c r="C102" s="23">
        <f aca="true" t="shared" si="38" ref="C102:H103">C72</f>
        <v>9403.920019989786</v>
      </c>
      <c r="D102" s="24">
        <f t="shared" si="38"/>
        <v>6918.789637025446</v>
      </c>
      <c r="E102" s="24">
        <f t="shared" si="38"/>
        <v>8223.637002819947</v>
      </c>
      <c r="F102" s="24">
        <f t="shared" si="38"/>
        <v>9403.920019989786</v>
      </c>
      <c r="G102" s="24">
        <f t="shared" si="38"/>
        <v>10446.754742795289</v>
      </c>
      <c r="H102" s="25">
        <f t="shared" si="38"/>
        <v>11347.10519211471</v>
      </c>
    </row>
    <row r="103" spans="1:8" ht="15">
      <c r="A103" s="1" t="s">
        <v>69</v>
      </c>
      <c r="B103" s="2" t="s">
        <v>68</v>
      </c>
      <c r="C103" s="23" t="e">
        <f t="shared" si="38"/>
        <v>#DIV/0!</v>
      </c>
      <c r="D103" s="24" t="e">
        <f t="shared" si="38"/>
        <v>#DIV/0!</v>
      </c>
      <c r="E103" s="24" t="e">
        <f t="shared" si="38"/>
        <v>#DIV/0!</v>
      </c>
      <c r="F103" s="24" t="e">
        <f t="shared" si="38"/>
        <v>#DIV/0!</v>
      </c>
      <c r="G103" s="24" t="e">
        <f t="shared" si="38"/>
        <v>#DIV/0!</v>
      </c>
      <c r="H103" s="25" t="e">
        <f t="shared" si="38"/>
        <v>#DIV/0!</v>
      </c>
    </row>
    <row r="104" spans="1:8" ht="15">
      <c r="A104" s="1" t="s">
        <v>70</v>
      </c>
      <c r="B104" s="2" t="s">
        <v>68</v>
      </c>
      <c r="C104" s="23" t="e">
        <f aca="true" t="shared" si="39" ref="C104:H104">C75</f>
        <v>#DIV/0!</v>
      </c>
      <c r="D104" s="24" t="e">
        <f t="shared" si="39"/>
        <v>#DIV/0!</v>
      </c>
      <c r="E104" s="24" t="e">
        <f t="shared" si="39"/>
        <v>#DIV/0!</v>
      </c>
      <c r="F104" s="24" t="e">
        <f t="shared" si="39"/>
        <v>#DIV/0!</v>
      </c>
      <c r="G104" s="24" t="e">
        <f t="shared" si="39"/>
        <v>#DIV/0!</v>
      </c>
      <c r="H104" s="25" t="e">
        <f t="shared" si="39"/>
        <v>#DIV/0!</v>
      </c>
    </row>
    <row r="105" spans="1:10" ht="19.5">
      <c r="A105" s="1" t="s">
        <v>81</v>
      </c>
      <c r="C105" s="23" t="e">
        <f aca="true" t="shared" si="40" ref="C105:H105">C104-C101</f>
        <v>#DIV/0!</v>
      </c>
      <c r="D105" s="24" t="e">
        <f t="shared" si="40"/>
        <v>#DIV/0!</v>
      </c>
      <c r="E105" s="24" t="e">
        <f t="shared" si="40"/>
        <v>#DIV/0!</v>
      </c>
      <c r="F105" s="24" t="e">
        <f t="shared" si="40"/>
        <v>#DIV/0!</v>
      </c>
      <c r="G105" s="24" t="e">
        <f t="shared" si="40"/>
        <v>#DIV/0!</v>
      </c>
      <c r="H105" s="25" t="e">
        <f t="shared" si="40"/>
        <v>#DIV/0!</v>
      </c>
      <c r="I105" s="2"/>
      <c r="J105" s="26"/>
    </row>
    <row r="106" spans="3:10" ht="19.5">
      <c r="C106" s="27" t="s">
        <v>82</v>
      </c>
      <c r="D106" s="28"/>
      <c r="E106" s="28"/>
      <c r="F106" s="28"/>
      <c r="G106" s="28"/>
      <c r="H106" s="29"/>
      <c r="I106" s="2"/>
      <c r="J106" s="26"/>
    </row>
    <row r="107" spans="3:10" ht="19.5">
      <c r="C107" s="2"/>
      <c r="D107" s="2"/>
      <c r="E107" s="2"/>
      <c r="F107" s="2"/>
      <c r="G107" s="2"/>
      <c r="H107" s="2"/>
      <c r="I107" s="2"/>
      <c r="J107" s="26"/>
    </row>
    <row r="108" spans="3:10" ht="19.5">
      <c r="C108" s="2"/>
      <c r="D108" s="2"/>
      <c r="E108" s="2"/>
      <c r="F108" s="2"/>
      <c r="G108" s="2"/>
      <c r="H108" s="2"/>
      <c r="I108" s="2"/>
      <c r="J108" s="26"/>
    </row>
    <row r="109" spans="3:10" ht="19.5">
      <c r="C109" s="2"/>
      <c r="D109" s="2"/>
      <c r="E109" s="2"/>
      <c r="F109" s="2"/>
      <c r="G109" s="2"/>
      <c r="H109" s="2"/>
      <c r="I109" s="2"/>
      <c r="J109" s="30"/>
    </row>
    <row r="110" spans="3:10" ht="19.5">
      <c r="C110" s="2"/>
      <c r="D110" s="2"/>
      <c r="E110" s="2"/>
      <c r="F110" s="2"/>
      <c r="G110" s="2"/>
      <c r="H110" s="2"/>
      <c r="I110" s="2"/>
      <c r="J110" s="30"/>
    </row>
  </sheetData>
  <sheetProtection algorithmName="SHA-512" hashValue="e8HAhMxe4a1rbrqoIubkjeU5mONRV+hZNAIrGAk17Sr6hEMhLEUoPBJtmAkdKb/5Ox+lZvdxehNmmwC+915xxA==" saltValue="ZKX2bpF8CAaHw/ek3+zHkQ==" spinCount="100000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7"/>
  <sheetViews>
    <sheetView showGridLines="0" tabSelected="1" workbookViewId="0" topLeftCell="A1">
      <selection activeCell="H16" sqref="H16"/>
    </sheetView>
  </sheetViews>
  <sheetFormatPr defaultColWidth="14.7109375" defaultRowHeight="12.75"/>
  <cols>
    <col min="1" max="1" width="18.57421875" style="31" customWidth="1"/>
    <col min="2" max="2" width="44.421875" style="65" customWidth="1"/>
    <col min="3" max="3" width="14.7109375" style="31" hidden="1" customWidth="1"/>
    <col min="4" max="4" width="1.1484375" style="31" customWidth="1"/>
    <col min="5" max="5" width="4.140625" style="31" customWidth="1"/>
    <col min="6" max="6" width="1.28515625" style="31" customWidth="1"/>
    <col min="7" max="7" width="5.421875" style="31" hidden="1" customWidth="1"/>
    <col min="8" max="8" width="8.140625" style="31" customWidth="1"/>
    <col min="9" max="9" width="10.421875" style="31" customWidth="1"/>
    <col min="10" max="10" width="9.140625" style="31" customWidth="1"/>
    <col min="11" max="11" width="1.1484375" style="31" customWidth="1"/>
    <col min="12" max="16384" width="14.7109375" style="31" customWidth="1"/>
  </cols>
  <sheetData>
    <row r="1" spans="1:9" ht="12.75">
      <c r="A1" s="40"/>
      <c r="B1" s="59"/>
      <c r="C1" s="40"/>
      <c r="D1" s="40"/>
      <c r="E1" s="40"/>
      <c r="F1" s="40"/>
      <c r="G1" s="40"/>
      <c r="H1" s="40"/>
      <c r="I1" s="40"/>
    </row>
    <row r="2" spans="1:10" ht="15.75">
      <c r="A2" s="39"/>
      <c r="B2" s="60"/>
      <c r="C2" s="40"/>
      <c r="D2" s="41"/>
      <c r="E2" s="40"/>
      <c r="F2" s="40"/>
      <c r="G2" s="40"/>
      <c r="H2" s="57" t="s">
        <v>160</v>
      </c>
      <c r="I2" s="133"/>
      <c r="J2" s="33"/>
    </row>
    <row r="3" spans="1:10" ht="7.5" customHeight="1">
      <c r="A3" s="40"/>
      <c r="B3" s="59"/>
      <c r="C3" s="40"/>
      <c r="D3" s="40"/>
      <c r="E3" s="42"/>
      <c r="F3" s="43"/>
      <c r="G3" s="43"/>
      <c r="H3" s="40"/>
      <c r="I3" s="134"/>
      <c r="J3" s="32"/>
    </row>
    <row r="4" spans="1:10" ht="29.25" customHeight="1">
      <c r="A4" s="44"/>
      <c r="B4" s="61"/>
      <c r="C4" s="45"/>
      <c r="D4" s="45"/>
      <c r="E4" s="43"/>
      <c r="F4" s="43"/>
      <c r="G4" s="43"/>
      <c r="H4" s="40"/>
      <c r="I4" s="135"/>
      <c r="J4" s="34"/>
    </row>
    <row r="5" spans="1:10" ht="29.25" customHeight="1" hidden="1">
      <c r="A5" s="44"/>
      <c r="B5" s="61"/>
      <c r="C5" s="45"/>
      <c r="D5" s="45"/>
      <c r="E5" s="43"/>
      <c r="F5" s="43"/>
      <c r="G5" s="43"/>
      <c r="H5" s="40"/>
      <c r="I5" s="135"/>
      <c r="J5" s="34"/>
    </row>
    <row r="6" spans="1:10" ht="16.5" customHeight="1" hidden="1">
      <c r="A6" s="44"/>
      <c r="B6" s="61"/>
      <c r="C6" s="45"/>
      <c r="D6" s="45"/>
      <c r="E6" s="43"/>
      <c r="F6" s="43"/>
      <c r="G6" s="43"/>
      <c r="H6" s="40"/>
      <c r="I6" s="135"/>
      <c r="J6" s="34"/>
    </row>
    <row r="7" spans="1:9" ht="8.25" customHeight="1" hidden="1">
      <c r="A7" s="40"/>
      <c r="B7" s="59"/>
      <c r="C7" s="40"/>
      <c r="D7" s="40"/>
      <c r="E7" s="43"/>
      <c r="F7" s="43"/>
      <c r="G7" s="43"/>
      <c r="H7" s="40"/>
      <c r="I7" s="40"/>
    </row>
    <row r="8" spans="1:12" s="73" customFormat="1" ht="15" customHeight="1">
      <c r="A8" s="70" t="s">
        <v>150</v>
      </c>
      <c r="B8" s="71"/>
      <c r="C8" s="70"/>
      <c r="D8" s="70"/>
      <c r="E8" s="72"/>
      <c r="F8" s="72"/>
      <c r="G8" s="72"/>
      <c r="H8" s="70"/>
      <c r="I8" s="136"/>
      <c r="J8" s="35"/>
      <c r="K8" s="35"/>
      <c r="L8" s="35"/>
    </row>
    <row r="9" spans="1:12" s="73" customFormat="1" ht="15" customHeight="1">
      <c r="A9" s="70" t="s">
        <v>153</v>
      </c>
      <c r="B9" s="71"/>
      <c r="C9" s="70"/>
      <c r="D9" s="70"/>
      <c r="E9" s="74"/>
      <c r="F9" s="72"/>
      <c r="G9" s="72"/>
      <c r="H9" s="70"/>
      <c r="I9" s="136"/>
      <c r="J9" s="35"/>
      <c r="K9" s="35"/>
      <c r="L9" s="35"/>
    </row>
    <row r="10" spans="1:12" s="73" customFormat="1" ht="15" customHeight="1">
      <c r="A10" s="70" t="s">
        <v>154</v>
      </c>
      <c r="B10" s="71"/>
      <c r="C10" s="70"/>
      <c r="D10" s="70"/>
      <c r="E10" s="74"/>
      <c r="F10" s="72"/>
      <c r="G10" s="72"/>
      <c r="H10" s="70"/>
      <c r="I10" s="136"/>
      <c r="J10" s="35"/>
      <c r="K10" s="35"/>
      <c r="L10" s="35"/>
    </row>
    <row r="11" spans="1:12" s="73" customFormat="1" ht="15" customHeight="1">
      <c r="A11" s="50" t="s">
        <v>151</v>
      </c>
      <c r="B11" s="71"/>
      <c r="C11" s="70"/>
      <c r="D11" s="70"/>
      <c r="E11" s="70"/>
      <c r="F11" s="70"/>
      <c r="G11" s="70"/>
      <c r="H11" s="70"/>
      <c r="I11" s="136"/>
      <c r="J11" s="35"/>
      <c r="K11" s="35"/>
      <c r="L11" s="35"/>
    </row>
    <row r="12" spans="1:12" s="73" customFormat="1" ht="11.25" customHeight="1">
      <c r="A12" s="70"/>
      <c r="B12" s="71"/>
      <c r="C12" s="70"/>
      <c r="D12" s="70"/>
      <c r="E12" s="70"/>
      <c r="F12" s="70"/>
      <c r="G12" s="70"/>
      <c r="H12" s="70"/>
      <c r="I12" s="136"/>
      <c r="J12" s="35"/>
      <c r="K12" s="35"/>
      <c r="L12" s="35"/>
    </row>
    <row r="13" spans="1:12" s="73" customFormat="1" ht="15" customHeight="1">
      <c r="A13" s="70" t="s">
        <v>152</v>
      </c>
      <c r="B13" s="71"/>
      <c r="C13" s="70"/>
      <c r="D13" s="70"/>
      <c r="E13" s="70"/>
      <c r="F13" s="70"/>
      <c r="G13" s="70"/>
      <c r="H13" s="70"/>
      <c r="I13" s="136"/>
      <c r="J13" s="35"/>
      <c r="K13" s="35"/>
      <c r="L13" s="35"/>
    </row>
    <row r="14" spans="1:12" s="73" customFormat="1" ht="15" customHeight="1">
      <c r="A14" s="70" t="s">
        <v>155</v>
      </c>
      <c r="B14" s="71"/>
      <c r="C14" s="70"/>
      <c r="D14" s="70"/>
      <c r="E14" s="70"/>
      <c r="F14" s="70"/>
      <c r="G14" s="70"/>
      <c r="H14" s="70"/>
      <c r="I14" s="136"/>
      <c r="J14" s="35"/>
      <c r="K14" s="35"/>
      <c r="L14" s="35"/>
    </row>
    <row r="15" spans="1:9" s="51" customFormat="1" ht="15" customHeight="1">
      <c r="A15" s="50"/>
      <c r="B15" s="62"/>
      <c r="C15" s="52"/>
      <c r="D15" s="52"/>
      <c r="E15" s="69"/>
      <c r="F15" s="52"/>
      <c r="G15" s="52"/>
      <c r="H15" s="52"/>
      <c r="I15" s="137"/>
    </row>
    <row r="16" spans="1:9" s="68" customFormat="1" ht="12">
      <c r="A16" s="66"/>
      <c r="B16" s="76" t="s">
        <v>124</v>
      </c>
      <c r="C16" s="67"/>
      <c r="D16" s="67"/>
      <c r="E16" s="67"/>
      <c r="F16" s="67"/>
      <c r="G16" s="67"/>
      <c r="H16" s="138"/>
      <c r="I16" s="67"/>
    </row>
    <row r="17" spans="1:9" s="106" customFormat="1" ht="3" customHeight="1">
      <c r="A17" s="103"/>
      <c r="B17" s="104"/>
      <c r="C17" s="105"/>
      <c r="D17" s="105"/>
      <c r="E17" s="105"/>
      <c r="F17" s="105"/>
      <c r="G17" s="105"/>
      <c r="H17" s="105"/>
      <c r="I17" s="105"/>
    </row>
    <row r="18" spans="1:256" s="118" customFormat="1" ht="19.5" customHeight="1">
      <c r="A18" s="113" t="s">
        <v>148</v>
      </c>
      <c r="B18" s="124"/>
      <c r="C18" s="125"/>
      <c r="D18" s="125"/>
      <c r="E18" s="125"/>
      <c r="F18" s="125"/>
      <c r="G18" s="126"/>
      <c r="H18" s="126"/>
      <c r="I18" s="139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spans="1:9" s="54" customFormat="1" ht="14.1" customHeight="1">
      <c r="A19" s="77" t="s">
        <v>83</v>
      </c>
      <c r="B19" s="143" t="s">
        <v>125</v>
      </c>
      <c r="C19" s="144"/>
      <c r="D19" s="144"/>
      <c r="E19" s="144"/>
      <c r="F19" s="144"/>
      <c r="G19" s="79"/>
      <c r="H19" s="99"/>
      <c r="I19" s="130"/>
    </row>
    <row r="20" spans="1:9" s="54" customFormat="1" ht="14.1" customHeight="1">
      <c r="A20" s="77" t="s">
        <v>84</v>
      </c>
      <c r="B20" s="80" t="s">
        <v>126</v>
      </c>
      <c r="C20" s="81"/>
      <c r="D20" s="81"/>
      <c r="E20" s="81"/>
      <c r="F20" s="81"/>
      <c r="G20" s="82"/>
      <c r="H20" s="100"/>
      <c r="I20" s="55"/>
    </row>
    <row r="21" spans="1:9" s="54" customFormat="1" ht="14.1" customHeight="1">
      <c r="A21" s="77" t="s">
        <v>85</v>
      </c>
      <c r="B21" s="80" t="s">
        <v>127</v>
      </c>
      <c r="C21" s="81"/>
      <c r="D21" s="81"/>
      <c r="E21" s="81"/>
      <c r="F21" s="81"/>
      <c r="G21" s="82"/>
      <c r="H21" s="101">
        <v>11</v>
      </c>
      <c r="I21" s="55" t="s">
        <v>86</v>
      </c>
    </row>
    <row r="22" spans="1:9" s="54" customFormat="1" ht="14.1" customHeight="1">
      <c r="A22" s="77" t="s">
        <v>87</v>
      </c>
      <c r="B22" s="80" t="s">
        <v>128</v>
      </c>
      <c r="C22" s="81"/>
      <c r="D22" s="81"/>
      <c r="E22" s="81"/>
      <c r="F22" s="81"/>
      <c r="G22" s="82"/>
      <c r="H22" s="101">
        <v>24</v>
      </c>
      <c r="I22" s="55" t="s">
        <v>88</v>
      </c>
    </row>
    <row r="23" spans="1:9" s="54" customFormat="1" ht="14.1" customHeight="1">
      <c r="A23" s="77" t="s">
        <v>8</v>
      </c>
      <c r="B23" s="80" t="s">
        <v>129</v>
      </c>
      <c r="C23" s="81"/>
      <c r="D23" s="81"/>
      <c r="E23" s="81"/>
      <c r="F23" s="81"/>
      <c r="G23" s="82"/>
      <c r="H23" s="101">
        <v>61</v>
      </c>
      <c r="I23" s="55" t="s">
        <v>89</v>
      </c>
    </row>
    <row r="24" spans="1:9" s="54" customFormat="1" ht="14.1" customHeight="1">
      <c r="A24" s="77" t="s">
        <v>10</v>
      </c>
      <c r="B24" s="80" t="s">
        <v>130</v>
      </c>
      <c r="C24" s="81"/>
      <c r="D24" s="81"/>
      <c r="E24" s="81"/>
      <c r="F24" s="81"/>
      <c r="G24" s="82"/>
      <c r="H24" s="101">
        <v>200</v>
      </c>
      <c r="I24" s="55" t="s">
        <v>90</v>
      </c>
    </row>
    <row r="25" spans="1:9" s="54" customFormat="1" ht="14.1" customHeight="1" hidden="1" thickBot="1" thickTop="1">
      <c r="A25" s="77" t="s">
        <v>91</v>
      </c>
      <c r="B25" s="83" t="s">
        <v>92</v>
      </c>
      <c r="C25" s="81"/>
      <c r="D25" s="81"/>
      <c r="E25" s="81"/>
      <c r="F25" s="81"/>
      <c r="G25" s="82"/>
      <c r="H25" s="101"/>
      <c r="I25" s="55" t="s">
        <v>93</v>
      </c>
    </row>
    <row r="26" spans="1:9" s="54" customFormat="1" ht="14.1" customHeight="1">
      <c r="A26" s="77" t="s">
        <v>94</v>
      </c>
      <c r="B26" s="80" t="s">
        <v>131</v>
      </c>
      <c r="C26" s="81"/>
      <c r="D26" s="81"/>
      <c r="E26" s="81"/>
      <c r="F26" s="81"/>
      <c r="G26" s="82"/>
      <c r="H26" s="101">
        <v>80</v>
      </c>
      <c r="I26" s="55" t="s">
        <v>95</v>
      </c>
    </row>
    <row r="27" spans="1:9" s="54" customFormat="1" ht="14.1" customHeight="1">
      <c r="A27" s="77" t="s">
        <v>16</v>
      </c>
      <c r="B27" s="80" t="s">
        <v>132</v>
      </c>
      <c r="C27" s="81"/>
      <c r="D27" s="81"/>
      <c r="E27" s="81"/>
      <c r="F27" s="81"/>
      <c r="G27" s="82"/>
      <c r="H27" s="101">
        <v>50</v>
      </c>
      <c r="I27" s="55" t="s">
        <v>96</v>
      </c>
    </row>
    <row r="28" spans="1:9" s="54" customFormat="1" ht="14.25" customHeight="1">
      <c r="A28" s="77" t="s">
        <v>18</v>
      </c>
      <c r="B28" s="80" t="s">
        <v>133</v>
      </c>
      <c r="C28" s="81"/>
      <c r="D28" s="81"/>
      <c r="E28" s="81"/>
      <c r="F28" s="81"/>
      <c r="G28" s="82"/>
      <c r="H28" s="101">
        <v>200</v>
      </c>
      <c r="I28" s="55" t="s">
        <v>97</v>
      </c>
    </row>
    <row r="29" spans="1:9" s="54" customFormat="1" ht="14.1" customHeight="1">
      <c r="A29" s="77" t="s">
        <v>71</v>
      </c>
      <c r="B29" s="80" t="s">
        <v>134</v>
      </c>
      <c r="C29" s="81"/>
      <c r="D29" s="81"/>
      <c r="E29" s="81"/>
      <c r="F29" s="81"/>
      <c r="G29" s="82"/>
      <c r="H29" s="101">
        <v>90</v>
      </c>
      <c r="I29" s="55" t="s">
        <v>95</v>
      </c>
    </row>
    <row r="30" spans="1:9" s="54" customFormat="1" ht="14.1" customHeight="1">
      <c r="A30" s="77" t="s">
        <v>98</v>
      </c>
      <c r="B30" s="80" t="s">
        <v>135</v>
      </c>
      <c r="C30" s="81"/>
      <c r="D30" s="81"/>
      <c r="E30" s="81"/>
      <c r="F30" s="81"/>
      <c r="G30" s="82"/>
      <c r="H30" s="101">
        <v>150</v>
      </c>
      <c r="I30" s="55" t="s">
        <v>99</v>
      </c>
    </row>
    <row r="31" spans="1:9" s="54" customFormat="1" ht="14.1" customHeight="1">
      <c r="A31" s="78" t="s">
        <v>20</v>
      </c>
      <c r="B31" s="84" t="s">
        <v>136</v>
      </c>
      <c r="C31" s="85"/>
      <c r="D31" s="85"/>
      <c r="E31" s="85"/>
      <c r="F31" s="85"/>
      <c r="G31" s="86"/>
      <c r="H31" s="102">
        <v>550</v>
      </c>
      <c r="I31" s="62" t="s">
        <v>100</v>
      </c>
    </row>
    <row r="32" spans="1:9" ht="10.5" customHeight="1">
      <c r="A32" s="40"/>
      <c r="B32" s="63"/>
      <c r="C32" s="46"/>
      <c r="D32" s="46"/>
      <c r="E32" s="46"/>
      <c r="F32" s="46"/>
      <c r="G32" s="46"/>
      <c r="H32" s="75"/>
      <c r="I32" s="56"/>
    </row>
    <row r="33" spans="1:9" ht="3.75" customHeight="1">
      <c r="A33" s="40"/>
      <c r="B33" s="63"/>
      <c r="C33" s="46"/>
      <c r="D33" s="46"/>
      <c r="E33" s="46"/>
      <c r="F33" s="46"/>
      <c r="G33" s="46"/>
      <c r="H33" s="75"/>
      <c r="I33" s="55"/>
    </row>
    <row r="34" spans="1:9" s="118" customFormat="1" ht="21" customHeight="1">
      <c r="A34" s="113" t="s">
        <v>118</v>
      </c>
      <c r="B34" s="119"/>
      <c r="C34" s="120"/>
      <c r="D34" s="120"/>
      <c r="E34" s="121"/>
      <c r="F34" s="121"/>
      <c r="G34" s="122"/>
      <c r="H34" s="123"/>
      <c r="I34" s="55"/>
    </row>
    <row r="35" spans="1:9" s="54" customFormat="1" ht="14.1" customHeight="1">
      <c r="A35" s="57" t="s">
        <v>22</v>
      </c>
      <c r="B35" s="87" t="s">
        <v>137</v>
      </c>
      <c r="C35" s="88"/>
      <c r="D35" s="88"/>
      <c r="E35" s="88"/>
      <c r="F35" s="88"/>
      <c r="G35" s="89"/>
      <c r="H35" s="101"/>
      <c r="I35" s="55" t="s">
        <v>101</v>
      </c>
    </row>
    <row r="36" spans="1:9" ht="10.5" customHeight="1">
      <c r="A36" s="40"/>
      <c r="B36" s="63"/>
      <c r="C36" s="46"/>
      <c r="D36" s="46"/>
      <c r="E36" s="46"/>
      <c r="F36" s="46"/>
      <c r="G36" s="46"/>
      <c r="H36" s="128"/>
      <c r="I36" s="55"/>
    </row>
    <row r="37" spans="1:9" ht="3.75" customHeight="1">
      <c r="A37" s="40"/>
      <c r="B37" s="63"/>
      <c r="C37" s="46"/>
      <c r="D37" s="46"/>
      <c r="E37" s="46"/>
      <c r="F37" s="46"/>
      <c r="G37" s="46"/>
      <c r="H37" s="128"/>
      <c r="I37" s="55"/>
    </row>
    <row r="38" spans="1:9" s="118" customFormat="1" ht="21" customHeight="1">
      <c r="A38" s="113" t="s">
        <v>149</v>
      </c>
      <c r="B38" s="113"/>
      <c r="C38" s="114"/>
      <c r="D38" s="115"/>
      <c r="E38" s="115"/>
      <c r="F38" s="116"/>
      <c r="G38" s="117"/>
      <c r="H38" s="129"/>
      <c r="I38" s="131"/>
    </row>
    <row r="39" spans="1:9" s="51" customFormat="1" ht="15" customHeight="1">
      <c r="A39" s="90" t="s">
        <v>138</v>
      </c>
      <c r="B39" s="91"/>
      <c r="C39" s="92"/>
      <c r="D39" s="92"/>
      <c r="E39" s="92"/>
      <c r="F39" s="92"/>
      <c r="G39" s="93"/>
      <c r="H39" s="101">
        <v>11</v>
      </c>
      <c r="I39" s="62" t="s">
        <v>86</v>
      </c>
    </row>
    <row r="40" spans="1:9" s="36" customFormat="1" ht="15" customHeight="1">
      <c r="A40" s="47"/>
      <c r="B40" s="64"/>
      <c r="C40" s="37"/>
      <c r="D40" s="37"/>
      <c r="E40" s="37"/>
      <c r="F40" s="37"/>
      <c r="G40" s="37"/>
      <c r="H40" s="140"/>
      <c r="I40" s="62"/>
    </row>
    <row r="41" spans="1:9" ht="2.25" customHeight="1">
      <c r="A41" s="48"/>
      <c r="B41" s="59"/>
      <c r="C41" s="40"/>
      <c r="D41" s="40"/>
      <c r="E41" s="40"/>
      <c r="F41" s="38"/>
      <c r="G41" s="40"/>
      <c r="H41" s="75"/>
      <c r="I41" s="55"/>
    </row>
    <row r="42" spans="1:9" ht="0.75" customHeight="1">
      <c r="A42" s="48"/>
      <c r="B42" s="59"/>
      <c r="C42" s="40"/>
      <c r="D42" s="40"/>
      <c r="E42" s="40"/>
      <c r="F42" s="40"/>
      <c r="G42" s="40"/>
      <c r="H42" s="141"/>
      <c r="I42" s="55"/>
    </row>
    <row r="43" spans="1:9" s="58" customFormat="1" ht="18.75" customHeight="1">
      <c r="A43" s="112" t="s">
        <v>103</v>
      </c>
      <c r="B43" s="111"/>
      <c r="C43" s="77"/>
      <c r="D43" s="77"/>
      <c r="E43" s="77"/>
      <c r="F43" s="77"/>
      <c r="G43" s="77"/>
      <c r="H43" s="142"/>
      <c r="I43" s="132"/>
    </row>
    <row r="44" spans="1:9" s="51" customFormat="1" ht="14.1" customHeight="1">
      <c r="A44" s="70" t="s">
        <v>104</v>
      </c>
      <c r="B44" s="94" t="s">
        <v>139</v>
      </c>
      <c r="C44" s="92"/>
      <c r="D44" s="92"/>
      <c r="E44" s="92"/>
      <c r="F44" s="92"/>
      <c r="G44" s="95"/>
      <c r="H44" s="107">
        <f>IF(H35=0,Beräkningar!C22," ")</f>
        <v>4.578485996705322</v>
      </c>
      <c r="I44" s="62" t="s">
        <v>101</v>
      </c>
    </row>
    <row r="45" spans="1:9" s="51" customFormat="1" ht="14.1" customHeight="1">
      <c r="A45" s="49" t="s">
        <v>105</v>
      </c>
      <c r="B45" s="96" t="s">
        <v>140</v>
      </c>
      <c r="C45" s="97"/>
      <c r="D45" s="97"/>
      <c r="E45" s="97"/>
      <c r="F45" s="97"/>
      <c r="G45" s="98"/>
      <c r="H45" s="107">
        <f>Beräkningar!C33</f>
        <v>17.098036399981428</v>
      </c>
      <c r="I45" s="62" t="s">
        <v>97</v>
      </c>
    </row>
    <row r="46" spans="1:9" s="51" customFormat="1" ht="14.1" customHeight="1">
      <c r="A46" s="49" t="s">
        <v>106</v>
      </c>
      <c r="B46" s="96" t="s">
        <v>141</v>
      </c>
      <c r="C46" s="97"/>
      <c r="D46" s="97"/>
      <c r="E46" s="97"/>
      <c r="F46" s="97"/>
      <c r="G46" s="98"/>
      <c r="H46" s="108">
        <f>Beräkningar!C36</f>
        <v>8</v>
      </c>
      <c r="I46" s="62" t="s">
        <v>107</v>
      </c>
    </row>
    <row r="47" spans="1:9" s="51" customFormat="1" ht="14.1" customHeight="1">
      <c r="A47" s="49" t="s">
        <v>114</v>
      </c>
      <c r="B47" s="96" t="s">
        <v>142</v>
      </c>
      <c r="C47" s="97"/>
      <c r="D47" s="97"/>
      <c r="E47" s="97"/>
      <c r="F47" s="97"/>
      <c r="G47" s="98"/>
      <c r="H47" s="109">
        <f>Beräkningar!C74</f>
        <v>4701.960009994893</v>
      </c>
      <c r="I47" s="62" t="s">
        <v>102</v>
      </c>
    </row>
    <row r="48" spans="1:9" s="51" customFormat="1" ht="14.1" customHeight="1">
      <c r="A48" s="49" t="s">
        <v>123</v>
      </c>
      <c r="B48" s="96" t="s">
        <v>143</v>
      </c>
      <c r="C48" s="97"/>
      <c r="D48" s="97"/>
      <c r="E48" s="97"/>
      <c r="F48" s="97"/>
      <c r="G48" s="98"/>
      <c r="H48" s="110">
        <f>Beräkningar!C86</f>
        <v>4222.222222222223</v>
      </c>
      <c r="I48" s="62" t="s">
        <v>102</v>
      </c>
    </row>
    <row r="49" spans="1:9" s="51" customFormat="1" ht="14.1" customHeight="1">
      <c r="A49" s="49" t="s">
        <v>122</v>
      </c>
      <c r="B49" s="96" t="s">
        <v>144</v>
      </c>
      <c r="C49" s="97"/>
      <c r="D49" s="97"/>
      <c r="E49" s="97"/>
      <c r="F49" s="97"/>
      <c r="G49" s="98"/>
      <c r="H49" s="109">
        <f>H48/H45</f>
        <v>246.94193669085936</v>
      </c>
      <c r="I49" s="62" t="s">
        <v>100</v>
      </c>
    </row>
    <row r="50" spans="1:9" s="51" customFormat="1" ht="14.1" customHeight="1">
      <c r="A50" s="49" t="s">
        <v>108</v>
      </c>
      <c r="B50" s="96" t="s">
        <v>145</v>
      </c>
      <c r="C50" s="97"/>
      <c r="D50" s="97"/>
      <c r="E50" s="97"/>
      <c r="F50" s="97"/>
      <c r="G50" s="98"/>
      <c r="H50" s="109">
        <f>Beräkningar!C76</f>
        <v>14105.880029984679</v>
      </c>
      <c r="I50" s="62" t="s">
        <v>102</v>
      </c>
    </row>
    <row r="51" spans="1:9" s="51" customFormat="1" ht="14.1" customHeight="1">
      <c r="A51" s="49" t="s">
        <v>121</v>
      </c>
      <c r="B51" s="96" t="s">
        <v>146</v>
      </c>
      <c r="C51" s="97"/>
      <c r="D51" s="97"/>
      <c r="E51" s="97"/>
      <c r="F51" s="97"/>
      <c r="G51" s="98"/>
      <c r="H51" s="107">
        <f>Beräkningar!C81</f>
        <v>16.273939554895776</v>
      </c>
      <c r="I51" s="62" t="s">
        <v>109</v>
      </c>
    </row>
    <row r="52" spans="1:9" s="51" customFormat="1" ht="14.1" customHeight="1">
      <c r="A52" s="49" t="s">
        <v>120</v>
      </c>
      <c r="B52" s="96" t="s">
        <v>147</v>
      </c>
      <c r="C52" s="97"/>
      <c r="D52" s="97"/>
      <c r="E52" s="97"/>
      <c r="F52" s="97"/>
      <c r="G52" s="98"/>
      <c r="H52" s="107">
        <f>Beräkningar!C82</f>
        <v>12.819951805897167</v>
      </c>
      <c r="I52" s="62" t="s">
        <v>109</v>
      </c>
    </row>
    <row r="53" spans="1:7" s="54" customFormat="1" ht="15" customHeight="1">
      <c r="A53" s="53"/>
      <c r="B53" s="55"/>
      <c r="C53" s="53"/>
      <c r="D53" s="53"/>
      <c r="E53" s="53"/>
      <c r="F53" s="53"/>
      <c r="G53" s="53"/>
    </row>
    <row r="54" spans="1:7" s="56" customFormat="1" ht="18" customHeight="1">
      <c r="A54" s="62" t="s">
        <v>115</v>
      </c>
      <c r="B54" s="55"/>
      <c r="C54" s="55"/>
      <c r="D54" s="55"/>
      <c r="E54" s="55"/>
      <c r="F54" s="55"/>
      <c r="G54" s="55"/>
    </row>
    <row r="55" spans="1:7" s="56" customFormat="1" ht="12" customHeight="1">
      <c r="A55" s="55" t="s">
        <v>116</v>
      </c>
      <c r="B55" s="55"/>
      <c r="C55" s="55"/>
      <c r="D55" s="55"/>
      <c r="E55" s="55"/>
      <c r="F55" s="55"/>
      <c r="G55" s="55"/>
    </row>
    <row r="56" spans="1:7" ht="18" customHeight="1">
      <c r="A56" s="40"/>
      <c r="B56" s="59"/>
      <c r="C56" s="40"/>
      <c r="D56" s="40"/>
      <c r="E56" s="40"/>
      <c r="F56" s="40"/>
      <c r="G56" s="40"/>
    </row>
    <row r="57" spans="1:7" ht="18" customHeight="1">
      <c r="A57" s="40"/>
      <c r="B57" s="59"/>
      <c r="C57" s="40"/>
      <c r="D57" s="40"/>
      <c r="E57" s="40"/>
      <c r="F57" s="40"/>
      <c r="G57" s="40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</sheetData>
  <sheetProtection selectLockedCells="1" selectUnlockedCells="1"/>
  <mergeCells count="1">
    <mergeCell ref="B19:F19"/>
  </mergeCells>
  <printOptions/>
  <pageMargins left="0.8" right="0.49" top="1" bottom="0.7" header="0.47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F47" sqref="F47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83733F8F736479E5AE870F34210F6" ma:contentTypeVersion="11" ma:contentTypeDescription="Create a new document." ma:contentTypeScope="" ma:versionID="8d261f269ad9f2866c91ed3feb8720e6">
  <xsd:schema xmlns:xsd="http://www.w3.org/2001/XMLSchema" xmlns:xs="http://www.w3.org/2001/XMLSchema" xmlns:p="http://schemas.microsoft.com/office/2006/metadata/properties" xmlns:ns3="9fa93018-ce66-467d-90a4-bc91a8e08807" xmlns:ns4="6db5a578-ae0e-40e5-90d1-ad713fa62d8e" targetNamespace="http://schemas.microsoft.com/office/2006/metadata/properties" ma:root="true" ma:fieldsID="5f00250219828b6086b84b3716de8797" ns3:_="" ns4:_="">
    <xsd:import namespace="9fa93018-ce66-467d-90a4-bc91a8e08807"/>
    <xsd:import namespace="6db5a578-ae0e-40e5-90d1-ad713fa62d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93018-ce66-467d-90a4-bc91a8e088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5a578-ae0e-40e5-90d1-ad713fa62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D0F18D-18A4-49E1-AEA4-4CB79254E5E4}">
  <ds:schemaRefs>
    <ds:schemaRef ds:uri="6db5a578-ae0e-40e5-90d1-ad713fa62d8e"/>
    <ds:schemaRef ds:uri="http://schemas.microsoft.com/office/2006/metadata/properties"/>
    <ds:schemaRef ds:uri="http://purl.org/dc/elements/1.1/"/>
    <ds:schemaRef ds:uri="http://www.w3.org/XML/1998/namespace"/>
    <ds:schemaRef ds:uri="9fa93018-ce66-467d-90a4-bc91a8e0880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AE8FB9-199C-45B9-BA9E-F51B2A287B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9EB98-2D6B-4F62-BA24-6A27B22F2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a93018-ce66-467d-90a4-bc91a8e08807"/>
    <ds:schemaRef ds:uri="6db5a578-ae0e-40e5-90d1-ad713fa62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Malm</dc:creator>
  <cp:keywords/>
  <dc:description/>
  <cp:lastModifiedBy>Lars Wirén</cp:lastModifiedBy>
  <cp:lastPrinted>2015-06-17T12:06:58Z</cp:lastPrinted>
  <dcterms:created xsi:type="dcterms:W3CDTF">2002-04-09T09:51:31Z</dcterms:created>
  <dcterms:modified xsi:type="dcterms:W3CDTF">2024-02-06T13:27:08Z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0x010100DF283733F8F736479E5AE870F34210F6</vt:lpwstr>
  </property>
</Properties>
</file>